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210" windowHeight="8400" tabRatio="931" activeTab="0"/>
  </bookViews>
  <sheets>
    <sheet name="Титул" sheetId="1" r:id="rId1"/>
    <sheet name="ИНФО" sheetId="2" r:id="rId2"/>
    <sheet name="Содерж" sheetId="3" r:id="rId3"/>
    <sheet name="ОБЪЕДИН" sheetId="4" r:id="rId4"/>
    <sheet name="Результ" sheetId="5" r:id="rId5"/>
    <sheet name="ДИСПАН-1" sheetId="6" r:id="rId6"/>
    <sheet name="Результат" sheetId="7" r:id="rId7"/>
    <sheet name="ДИСПАН-2" sheetId="8" r:id="rId8"/>
    <sheet name="_Результ" sheetId="9" r:id="rId9"/>
    <sheet name="ДИСПАН-КАЧ" sheetId="10" r:id="rId10"/>
    <sheet name="РезДК" sheetId="11" r:id="rId11"/>
    <sheet name="СНЕДЕКОР" sheetId="12" r:id="rId12"/>
    <sheet name="РезСНД" sheetId="13" r:id="rId13"/>
    <sheet name="ФИШЕР" sheetId="14" r:id="rId14"/>
    <sheet name="ЧастнКоэфКорр" sheetId="15" r:id="rId15"/>
    <sheet name="ПакетАнализа" sheetId="16" r:id="rId16"/>
    <sheet name="ПримерПА" sheetId="17" r:id="rId17"/>
  </sheets>
  <definedNames/>
  <calcPr fullCalcOnLoad="1"/>
</workbook>
</file>

<file path=xl/comments16.xml><?xml version="1.0" encoding="utf-8"?>
<comments xmlns="http://schemas.openxmlformats.org/spreadsheetml/2006/main">
  <authors>
    <author>w</author>
  </authors>
  <commentList>
    <comment ref="F10" authorId="0">
      <text>
        <r>
          <rPr>
            <sz val="10"/>
            <rFont val="Tahoma"/>
            <family val="2"/>
          </rPr>
          <t xml:space="preserve">- </t>
        </r>
        <r>
          <rPr>
            <i/>
            <sz val="10"/>
            <rFont val="Tahoma"/>
            <family val="2"/>
          </rPr>
          <t>Входной интервал</t>
        </r>
        <r>
          <rPr>
            <sz val="10"/>
            <rFont val="Tahoma"/>
            <family val="2"/>
          </rPr>
          <t xml:space="preserve"> - нажмите кнопку с красной стрелкой, затем обведите левой клавишей мыши весь блок данных, включая заголовки столбцов, т. е., в примере </t>
        </r>
        <r>
          <rPr>
            <b/>
            <sz val="10"/>
            <rFont val="Tahoma"/>
            <family val="2"/>
          </rPr>
          <t>B1:E21</t>
        </r>
        <r>
          <rPr>
            <sz val="10"/>
            <rFont val="Tahoma"/>
            <family val="2"/>
          </rPr>
          <t xml:space="preserve">. Блок будет выделен пунктирной линией. Вновь нажмите кнопку с красной стрелкой.
- </t>
        </r>
        <r>
          <rPr>
            <i/>
            <sz val="10"/>
            <rFont val="Tahoma"/>
            <family val="2"/>
          </rPr>
          <t>Группирование</t>
        </r>
        <r>
          <rPr>
            <sz val="10"/>
            <rFont val="Tahoma"/>
            <family val="2"/>
          </rPr>
          <t xml:space="preserve">: по столбцам.
- </t>
        </r>
        <r>
          <rPr>
            <i/>
            <sz val="10"/>
            <rFont val="Tahoma"/>
            <family val="2"/>
          </rPr>
          <t>Метки в первой строке</t>
        </r>
        <r>
          <rPr>
            <sz val="10"/>
            <rFont val="Tahoma"/>
            <family val="2"/>
          </rPr>
          <t xml:space="preserve"> - поставьте флажок.
- Выберите </t>
        </r>
        <r>
          <rPr>
            <i/>
            <sz val="10"/>
            <rFont val="Tahoma"/>
            <family val="2"/>
          </rPr>
          <t>Новый рабочий лист</t>
        </r>
        <r>
          <rPr>
            <sz val="10"/>
            <rFont val="Tahoma"/>
            <family val="2"/>
          </rPr>
          <t xml:space="preserve"> щелчком в кружке. В поле введите например, </t>
        </r>
        <r>
          <rPr>
            <b/>
            <sz val="10"/>
            <rFont val="Tahoma"/>
            <family val="2"/>
          </rPr>
          <t>ОС2</t>
        </r>
        <r>
          <rPr>
            <sz val="10"/>
            <rFont val="Tahoma"/>
            <family val="2"/>
          </rPr>
          <t xml:space="preserve">.
- </t>
        </r>
        <r>
          <rPr>
            <i/>
            <sz val="10"/>
            <rFont val="Tahoma"/>
            <family val="2"/>
          </rPr>
          <t>Итоговая статистика</t>
        </r>
        <r>
          <rPr>
            <sz val="10"/>
            <rFont val="Tahoma"/>
            <family val="2"/>
          </rPr>
          <t xml:space="preserve"> - поставьте флажок.
- Остальное оставьте без изменения.
- Нажмите Ok. После пересчета на листе ОС2 будет результат, аналогичный имеющемуся на листе ОС1.
Обратите внимание на Примечание к листу ОС1.</t>
        </r>
        <r>
          <rPr>
            <i/>
            <sz val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sz val="10"/>
            <rFont val="Tahoma"/>
            <family val="2"/>
          </rPr>
          <t xml:space="preserve">- </t>
        </r>
        <r>
          <rPr>
            <i/>
            <sz val="10"/>
            <rFont val="Tahoma"/>
            <family val="2"/>
          </rPr>
          <t>Входной интервал</t>
        </r>
        <r>
          <rPr>
            <sz val="10"/>
            <rFont val="Tahoma"/>
            <family val="2"/>
          </rPr>
          <t xml:space="preserve"> - нажмите кнопку с красной стрелкой, затем обведите левой клавишей мыши весь блок данных, включая заголовки столбцов, т. е., в примере </t>
        </r>
        <r>
          <rPr>
            <b/>
            <sz val="10"/>
            <rFont val="Tahoma"/>
            <family val="2"/>
          </rPr>
          <t>B1:E21</t>
        </r>
        <r>
          <rPr>
            <sz val="10"/>
            <rFont val="Tahoma"/>
            <family val="2"/>
          </rPr>
          <t xml:space="preserve">. Блок будет выделен пунктирной линией. Вновь нажмите кнопку с красной стрелкой.
- </t>
        </r>
        <r>
          <rPr>
            <i/>
            <sz val="10"/>
            <rFont val="Tahoma"/>
            <family val="2"/>
          </rPr>
          <t>Группирование</t>
        </r>
        <r>
          <rPr>
            <sz val="10"/>
            <rFont val="Tahoma"/>
            <family val="2"/>
          </rPr>
          <t xml:space="preserve">: по столбцам.
- </t>
        </r>
        <r>
          <rPr>
            <i/>
            <sz val="10"/>
            <rFont val="Tahoma"/>
            <family val="2"/>
          </rPr>
          <t>Метки в первой строке</t>
        </r>
        <r>
          <rPr>
            <sz val="10"/>
            <rFont val="Tahoma"/>
            <family val="2"/>
          </rPr>
          <t xml:space="preserve"> - поставьте флажок.
- Выберите </t>
        </r>
        <r>
          <rPr>
            <i/>
            <sz val="10"/>
            <rFont val="Tahoma"/>
            <family val="2"/>
          </rPr>
          <t>Новый рабочий лист</t>
        </r>
        <r>
          <rPr>
            <sz val="10"/>
            <rFont val="Tahoma"/>
            <family val="2"/>
          </rPr>
          <t xml:space="preserve"> щелчком в кружке. В поле введите, например, </t>
        </r>
        <r>
          <rPr>
            <b/>
            <sz val="10"/>
            <rFont val="Tahoma"/>
            <family val="2"/>
          </rPr>
          <t>КА2</t>
        </r>
        <r>
          <rPr>
            <sz val="10"/>
            <rFont val="Tahoma"/>
            <family val="2"/>
          </rPr>
          <t>.
- Остальное оставьте без изменения.
- Нажмите Ok. После пересчета, если все выполнено правильно, на листе КА2 будет отображена корреляционная матрица..
Ошибки коэффициентов корреляции вычисляются вручную по стандартной формуле.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0"/>
            <rFont val="Tahoma"/>
            <family val="2"/>
          </rPr>
          <t>Выберите левой кнопкой интервал данных, как указано выше, включая заголовки столбцов.
Если градации фактора расположены по столбцам, группирование - по столбцам.
Если градации фактора расположены по строкам, группирование - по строкам.
Метки в первой строке: поставить флажок.
Альфа - оставить 0,05.
Параметры выбора: Новый рабочий лист. В поле ввести, например, ДА2.
Нажать Ok.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<sst xmlns="http://schemas.openxmlformats.org/spreadsheetml/2006/main" count="386" uniqueCount="209">
  <si>
    <t>n</t>
  </si>
  <si>
    <t>M</t>
  </si>
  <si>
    <t>m</t>
  </si>
  <si>
    <t>σ²</t>
  </si>
  <si>
    <t>C</t>
  </si>
  <si>
    <t>ΣV</t>
  </si>
  <si>
    <t>Hi</t>
  </si>
  <si>
    <t xml:space="preserve"> </t>
  </si>
  <si>
    <t>ΣV²</t>
  </si>
  <si>
    <t>Cy=</t>
  </si>
  <si>
    <t>Cx=</t>
  </si>
  <si>
    <t>Cz=</t>
  </si>
  <si>
    <t>σ²(x)</t>
  </si>
  <si>
    <t>σ²(z)</t>
  </si>
  <si>
    <t>Градаций</t>
  </si>
  <si>
    <t>r(w)</t>
  </si>
  <si>
    <t>F=</t>
  </si>
  <si>
    <t>№ град</t>
  </si>
  <si>
    <t>Сумма</t>
  </si>
  <si>
    <t>Σn²</t>
  </si>
  <si>
    <t>Проверка</t>
  </si>
  <si>
    <t>n(0)</t>
  </si>
  <si>
    <t>РЕЗУЛЬТАТ</t>
  </si>
  <si>
    <t>По Снедекору</t>
  </si>
  <si>
    <t>Коэф. вн.кл. корр.</t>
  </si>
  <si>
    <t>Критерий Фишера</t>
  </si>
  <si>
    <t>По Плохинскому</t>
  </si>
  <si>
    <t>Влияние</t>
  </si>
  <si>
    <t>Ошибка</t>
  </si>
  <si>
    <t>Критерий достоверн</t>
  </si>
  <si>
    <t>Ф</t>
  </si>
  <si>
    <t>Число степ. своб.</t>
  </si>
  <si>
    <t>Факт. (межгруп)</t>
  </si>
  <si>
    <t>Случ. (внутригруп.)</t>
  </si>
  <si>
    <t>Общее</t>
  </si>
  <si>
    <t>ДИСПЕРСИОННЫЙ АНАЛИЗ 1-ФАКТОРНОГО КОМПЛЕКСА НА ОСНОВАНИИ ИМЕЮЩИХСЯ ПО КАЖДОЙ ГРАДАЦИИ n; M; m</t>
  </si>
  <si>
    <t>ОБЪЕДИНЕНИЕ ВЫБОРОК НА ОСНОВАНИИ ИМЕЮЩИХСЯ ПО КАЖДОЙ ВЫБОРКЕ n; M; m (по Н.А. Плохинскому, 1970)</t>
  </si>
  <si>
    <t>Общая средняя</t>
  </si>
  <si>
    <t>Общая сигма</t>
  </si>
  <si>
    <t>Общая ошибка</t>
  </si>
  <si>
    <t>Общий Cv</t>
  </si>
  <si>
    <t>Всего вариант</t>
  </si>
  <si>
    <t>(Mi-Mоб)</t>
  </si>
  <si>
    <t>^2</t>
  </si>
  <si>
    <t>Числит.</t>
  </si>
  <si>
    <t>Знамен.</t>
  </si>
  <si>
    <t>№</t>
  </si>
  <si>
    <t>выборки</t>
  </si>
  <si>
    <t xml:space="preserve"> 3. Дисперсионный 1-факт. анализ по неполным данным</t>
  </si>
  <si>
    <t xml:space="preserve"> 2. Дисперсионный анализ однофакторных комплексов </t>
  </si>
  <si>
    <t xml:space="preserve"> по ранее обработанным данным</t>
  </si>
  <si>
    <t>min</t>
  </si>
  <si>
    <t>max</t>
  </si>
  <si>
    <t>p</t>
  </si>
  <si>
    <t>20-24</t>
  </si>
  <si>
    <t>25-29</t>
  </si>
  <si>
    <t>30-34</t>
  </si>
  <si>
    <t>35-39</t>
  </si>
  <si>
    <t>40-44</t>
  </si>
  <si>
    <t>45-49</t>
  </si>
  <si>
    <t>&gt;=50</t>
  </si>
  <si>
    <t>РЕЗУЛЬТАТЫ ВЫЧИСЛЕНИЯ</t>
  </si>
  <si>
    <t>ДИСПЕРСИОННЫЙ АНАЛИЗ 1-ФАКТОРНОГО КОМПЛЕКСА НА ОСНОВАНИИ ИМЕЮЩИХСЯ ПО КАЖДОЙ ГРАДАЦИИ n; min; max</t>
  </si>
  <si>
    <t>ДИСПЕРСИОННЫЙ АНАЛИЗ 1-ФАКТОРНОГО КОМПЛЕКСА КАЧЕСТВЕННЫХ ПРИЗНАКОВ</t>
  </si>
  <si>
    <t>Hs</t>
  </si>
  <si>
    <t xml:space="preserve"> 7. Частные коэффициенты корреляции</t>
  </si>
  <si>
    <t>Оцениваямая выборка</t>
  </si>
  <si>
    <t>Сравниваемые</t>
  </si>
  <si>
    <t>ОЦЕНКА РАЗНОСТИ ВЫБОРОЧНЫХ СРЕДНИХ</t>
  </si>
  <si>
    <t>ПО СНЕДЕКОРУ</t>
  </si>
  <si>
    <t>n - число вариант</t>
  </si>
  <si>
    <t>M - средняя арифметическая</t>
  </si>
  <si>
    <t>m - статистичекая ошибка</t>
  </si>
  <si>
    <t>ПОРЯДОК ДЕЙСТВИЙ</t>
  </si>
  <si>
    <t>Допускается анализ 1 оцениваемой и 1-20 выборок</t>
  </si>
  <si>
    <t>1. Для анализа с новым набором выборок</t>
  </si>
  <si>
    <t>2. Введите по оцениваемой и сравниваемым</t>
  </si>
  <si>
    <t>3. Перейдите на лист РезОП и запишите результат.</t>
  </si>
  <si>
    <t>№ выб.</t>
  </si>
  <si>
    <t>4. Если следующая оцениваямая выборка входит</t>
  </si>
  <si>
    <t>в состав сравниваемых выборок, поменяйте</t>
  </si>
  <si>
    <t>местами данные этих выборок и перейдите</t>
  </si>
  <si>
    <t>к п. 3.</t>
  </si>
  <si>
    <r>
      <t xml:space="preserve">очистите блок ячек </t>
    </r>
    <r>
      <rPr>
        <b/>
        <sz val="10"/>
        <rFont val="Arial Cyr"/>
        <family val="0"/>
      </rPr>
      <t>D3:F23</t>
    </r>
  </si>
  <si>
    <r>
      <t xml:space="preserve">выборкам значения </t>
    </r>
    <r>
      <rPr>
        <b/>
        <sz val="10"/>
        <rFont val="Arial Cyr"/>
        <family val="0"/>
      </rPr>
      <t>n, M и m</t>
    </r>
    <r>
      <rPr>
        <sz val="10"/>
        <rFont val="Arial Cyr"/>
        <family val="0"/>
      </rPr>
      <t>.</t>
    </r>
  </si>
  <si>
    <t>5. Для всех остальных выборок одной группы</t>
  </si>
  <si>
    <t>перейдите к п. 4, для выборок другой группы -</t>
  </si>
  <si>
    <t>к п. 1.</t>
  </si>
  <si>
    <t>Ниже ячейки для промежуточного копирования</t>
  </si>
  <si>
    <t>Оценив.</t>
  </si>
  <si>
    <t>Сравнив.</t>
  </si>
  <si>
    <t>№ выбор</t>
  </si>
  <si>
    <t>Разность</t>
  </si>
  <si>
    <t>Знаменат</t>
  </si>
  <si>
    <t>Td</t>
  </si>
  <si>
    <t>Ст. своб.</t>
  </si>
  <si>
    <t xml:space="preserve"> 6. Оценка разности 2-х выборочных средних по Фишеру</t>
  </si>
  <si>
    <t xml:space="preserve"> 5.Оценка разности ряда средних по Снедекору</t>
  </si>
  <si>
    <t>ОЦЕНКА ВЫБОРОЧНОЙ РАЗНОСТИ ПО КРИТЕРИЮ ФИШЕРА</t>
  </si>
  <si>
    <t>ИСХОДНЫЕ ДАННЫЕ</t>
  </si>
  <si>
    <t>Выборка</t>
  </si>
  <si>
    <t>n - число вариант в выборке</t>
  </si>
  <si>
    <t>m - статистическая ошибка</t>
  </si>
  <si>
    <t>σ^2</t>
  </si>
  <si>
    <t>РЕЗУЛЬТАТЫ</t>
  </si>
  <si>
    <t>σ^2(z)</t>
  </si>
  <si>
    <t>Вспомог.</t>
  </si>
  <si>
    <t xml:space="preserve">F </t>
  </si>
  <si>
    <t>C(z)</t>
  </si>
  <si>
    <t>v(1)</t>
  </si>
  <si>
    <t>v(2)</t>
  </si>
  <si>
    <t>F - критерий Фишера</t>
  </si>
  <si>
    <t>v(1) и v(2) - число степеней свободы</t>
  </si>
  <si>
    <t>Сравнить F с табличным значением</t>
  </si>
  <si>
    <t>при v(1)=1 и полученным v(2)</t>
  </si>
  <si>
    <t>ЧАСТНЫЕ КОЭФФИЦИЕНТЫ КОРРЕЛЯЦИИ</t>
  </si>
  <si>
    <t>коэффициенты корреляции</t>
  </si>
  <si>
    <t>Промежуточные вычисления</t>
  </si>
  <si>
    <t>r(12)</t>
  </si>
  <si>
    <t>r(13)</t>
  </si>
  <si>
    <t>r(23)</t>
  </si>
  <si>
    <t>r(12), r(13), r(23) - обычные</t>
  </si>
  <si>
    <t>между признаками</t>
  </si>
  <si>
    <t>r(12.3)</t>
  </si>
  <si>
    <t>r между (12) при исключении (3)</t>
  </si>
  <si>
    <t>r(13.2)</t>
  </si>
  <si>
    <t>r между (13) при исключении (2)</t>
  </si>
  <si>
    <t>r(23.1)</t>
  </si>
  <si>
    <t>r между (23) при исключении (1)</t>
  </si>
  <si>
    <t>ДочьУд</t>
  </si>
  <si>
    <t>ДочьЖир</t>
  </si>
  <si>
    <t>МатьУд</t>
  </si>
  <si>
    <t>МатьЖир</t>
  </si>
  <si>
    <t>3. В диалоговом окне выберите Описательная статистика</t>
  </si>
  <si>
    <t xml:space="preserve">1. Введите на свободном листе имеющиеся у Вас даннные, </t>
  </si>
  <si>
    <t>ориентируясь на образец слева.</t>
  </si>
  <si>
    <t>РАБОТА С ПАКЕТОМ АНАЛИЗА ДАННЫХ</t>
  </si>
  <si>
    <t>&lt;- подведите курсор сюда и придержите, не нажимая клавишу.</t>
  </si>
  <si>
    <t>Информация по Описательной статистике</t>
  </si>
  <si>
    <t>Исходные данные следует формировать так, чтобы не было пустых ячеек, а по всем выборкам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</si>
  <si>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</si>
  <si>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</si>
  <si>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</si>
  <si>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</si>
  <si>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</si>
  <si>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</si>
  <si>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</si>
  <si>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</si>
  <si>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</si>
  <si>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</si>
  <si>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</si>
  <si>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Счет</t>
  </si>
  <si>
    <t xml:space="preserve">   ПРИМЕЧАНИЕ</t>
  </si>
  <si>
    <t xml:space="preserve">   После пересчета заголовки столбцов будут в позиции 1-й строки.</t>
  </si>
  <si>
    <t xml:space="preserve">   Следует перенести заголовки в столбцы с числовыми данными (2 строка), а 1-ю строку удалить.</t>
  </si>
  <si>
    <t xml:space="preserve">   Раздвинуть 1-й столбец, чтобы были видны записи.</t>
  </si>
  <si>
    <t xml:space="preserve">   Столбцы с повторной записью удалить, т. е., как в примере, столбцы C, E, G (здесь не удалены)</t>
  </si>
  <si>
    <t xml:space="preserve">   Строки с ненужными данными можно удалить (здесь не удалены, но выделены цветом)</t>
  </si>
  <si>
    <t xml:space="preserve">  Счет - это количество вариант в выборке</t>
  </si>
  <si>
    <t>Информация для выполнения анализа Корреляция</t>
  </si>
  <si>
    <t>№ п.п.</t>
  </si>
  <si>
    <t xml:space="preserve">Для однофакторного дисперсионного анализа по столбцам </t>
  </si>
  <si>
    <t>дочерей отцов. Отцы в этом случае являются градациями</t>
  </si>
  <si>
    <t>действующего фактора</t>
  </si>
  <si>
    <t>должны быть занесены однотипные данные, например, удой</t>
  </si>
  <si>
    <t>Если имеется большое количество градаций, в каждой из</t>
  </si>
  <si>
    <t>которых небольшое число вариант, в 1-м столбце (A)</t>
  </si>
  <si>
    <t>записать наименование градаций, а по строкам их данные.</t>
  </si>
  <si>
    <t>или Корреляция или 1-факт. дисп. анализ и нажмите Ok.</t>
  </si>
  <si>
    <t>ДАЛЕЕ:</t>
  </si>
  <si>
    <t>ВНИМАНИЕ! КНИГА ЗАЩИЩЕНА ОТ ИЗМЕНЕНИЙ. ПОЭТОМУ РЕКОМЕНДАЦИИ О ВЫПОЛНЕНИИ</t>
  </si>
  <si>
    <t>УПРАЖНЕНИЙ СЛЕДУЕТ ВЫПОЛНЯТЬ ВО ВНОВЬ СОЗДАННОЙ РАБОЧЕЙ КНИГЕ.</t>
  </si>
  <si>
    <t xml:space="preserve"> 8. Справка о пакете Анализ данных</t>
  </si>
  <si>
    <t>ПОЛУЧЕННОГО В ПАКЕТЕ АНАЛИЗА</t>
  </si>
  <si>
    <t>ПРИМЕР РЕЗУЛЬТАТА ПО ОПИСАТЕЛЬНОЙ СТАТИСТИКЕ,</t>
  </si>
  <si>
    <t xml:space="preserve"> (ярлыки ОБЪЕДИН и Результат)</t>
  </si>
  <si>
    <t>(ярлыки ДИСПАН-1 и Результат)</t>
  </si>
  <si>
    <t>(ярлыки ДИСПАН-2 и Результат)</t>
  </si>
  <si>
    <t>(ярлыки СНЕДЕКОР и РезСНД)</t>
  </si>
  <si>
    <t>(ярлык ФИШЕР)</t>
  </si>
  <si>
    <t>(ярлык ЧастнКоэфКорр)</t>
  </si>
  <si>
    <t>(ярлыки ПакетАнализа и ПримерПА)</t>
  </si>
  <si>
    <t>в качестве Электронного учебного пособия</t>
  </si>
  <si>
    <t>по дисциплинам, связанным с компьтеризацией и статистикой</t>
  </si>
  <si>
    <t>Документ рассмотрен и утвержден УМС БТФ НГАУ</t>
  </si>
  <si>
    <t>в зооинженерии и биологии, 16.01.2018 г. Протокол № 1</t>
  </si>
  <si>
    <r>
      <t xml:space="preserve"> </t>
    </r>
    <r>
      <rPr>
        <b/>
        <sz val="10"/>
        <rFont val="Arial Cyr"/>
        <family val="0"/>
      </rPr>
      <t>1. Объединение статистических параметров выборок</t>
    </r>
  </si>
  <si>
    <t xml:space="preserve"> 4. Дисперсионный 1-факт. анализ качественных</t>
  </si>
  <si>
    <r>
      <rPr>
        <b/>
        <sz val="10"/>
        <rFont val="Arial Cyr"/>
        <family val="0"/>
      </rPr>
      <t xml:space="preserve">призначков </t>
    </r>
    <r>
      <rPr>
        <i/>
        <sz val="10"/>
        <rFont val="Arial Cyr"/>
        <family val="0"/>
      </rPr>
      <t>(ярлыки ДИСПАН-КАЧ и РезДК)</t>
    </r>
  </si>
  <si>
    <t>было одинаковое количество вариант, или включать в формулу функцию ЕСЛИ().</t>
  </si>
  <si>
    <r>
      <rPr>
        <b/>
        <sz val="10"/>
        <color indexed="10"/>
        <rFont val="Arial Cyr"/>
        <family val="0"/>
      </rPr>
      <t>*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Вариант</t>
    </r>
    <r>
      <rPr>
        <sz val="10"/>
        <rFont val="Arial Cyr"/>
        <family val="0"/>
      </rPr>
      <t xml:space="preserve">. В горизонтальном меню (верхняя строка) выберите пункт </t>
    </r>
    <r>
      <rPr>
        <b/>
        <sz val="10"/>
        <rFont val="Arial Cyr"/>
        <family val="0"/>
      </rPr>
      <t>Данные</t>
    </r>
    <r>
      <rPr>
        <sz val="10"/>
        <rFont val="Arial Cyr"/>
        <family val="0"/>
      </rPr>
      <t xml:space="preserve">. Затем справа </t>
    </r>
    <r>
      <rPr>
        <b/>
        <sz val="10"/>
        <rFont val="Arial Cyr"/>
        <family val="0"/>
      </rPr>
      <t>Анализ данных</t>
    </r>
    <r>
      <rPr>
        <sz val="10"/>
        <rFont val="Arial Cyr"/>
        <family val="0"/>
      </rPr>
      <t>.</t>
    </r>
  </si>
  <si>
    <r>
      <rPr>
        <sz val="10"/>
        <rFont val="Arial Cyr"/>
        <family val="0"/>
      </rPr>
      <t>В открывшемся окне - нужный раздел, наименование которого отображается в</t>
    </r>
    <r>
      <rPr>
        <b/>
        <sz val="10"/>
        <rFont val="Arial Cyr"/>
        <family val="0"/>
      </rPr>
      <t xml:space="preserve"> Инструменты анализа.</t>
    </r>
  </si>
  <si>
    <r>
      <t xml:space="preserve">2. Выберите меню Сервис - Анализ данных … </t>
    </r>
    <r>
      <rPr>
        <b/>
        <sz val="10"/>
        <color indexed="10"/>
        <rFont val="Arial Cyr"/>
        <family val="0"/>
      </rPr>
      <t>*</t>
    </r>
    <r>
      <rPr>
        <sz val="10"/>
        <rFont val="Arial Cyr"/>
        <family val="0"/>
      </rPr>
      <t>)</t>
    </r>
  </si>
  <si>
    <t xml:space="preserve">Предназначен для выполнения дополнительного </t>
  </si>
  <si>
    <t>статистического анализа ранее полученных данных.</t>
  </si>
  <si>
    <t>Необходимость этого может возникнуть довольно часто.</t>
  </si>
  <si>
    <t>Например, в ходе подготовки курсового или дипломного</t>
  </si>
  <si>
    <t>проектов, формировании обзора литературы потребуется</t>
  </si>
  <si>
    <t>дать общую оценку объекта по его частям, при отсутствии</t>
  </si>
  <si>
    <t>массива первичных материалов.</t>
  </si>
  <si>
    <t>дисперсионного анализа, целесообразно воспользоваться</t>
  </si>
  <si>
    <t>специальными методами, с привлечением уже имеющихся</t>
  </si>
  <si>
    <t>результатов вычислений.</t>
  </si>
  <si>
    <t>Для получения исходных итоговых данных следует</t>
  </si>
  <si>
    <t xml:space="preserve">                             </t>
  </si>
  <si>
    <t>использовать для решения задач один из вариантов</t>
  </si>
  <si>
    <t>* через встроенные функции (пункт Главного меню Формулы)</t>
  </si>
  <si>
    <t>* см. ярлык ПакетАнализа</t>
  </si>
  <si>
    <t>Также, если требуется провести различные варианты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</si>
</sst>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4" borderId="22" xfId="0" applyFont="1" applyFill="1" applyBorder="1" applyAlignment="1">
      <alignment/>
    </xf>
    <xf numFmtId="0" fontId="7" fillId="34" borderId="20" xfId="0" applyFont="1" applyFill="1" applyBorder="1" applyAlignment="1" applyProtection="1">
      <alignment/>
      <protection locked="0"/>
    </xf>
    <xf numFmtId="0" fontId="0" fillId="34" borderId="20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7" fillId="35" borderId="20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7" fillId="35" borderId="2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>
      <alignment/>
    </xf>
    <xf numFmtId="0" fontId="0" fillId="37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25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2" fillId="22" borderId="30" xfId="0" applyFont="1" applyFill="1" applyBorder="1" applyAlignment="1">
      <alignment/>
    </xf>
    <xf numFmtId="0" fontId="2" fillId="22" borderId="32" xfId="0" applyFont="1" applyFill="1" applyBorder="1" applyAlignment="1">
      <alignment/>
    </xf>
    <xf numFmtId="0" fontId="2" fillId="22" borderId="31" xfId="0" applyFont="1" applyFill="1" applyBorder="1" applyAlignment="1">
      <alignment/>
    </xf>
    <xf numFmtId="0" fontId="0" fillId="22" borderId="33" xfId="0" applyFont="1" applyFill="1" applyBorder="1" applyAlignment="1">
      <alignment/>
    </xf>
    <xf numFmtId="0" fontId="0" fillId="22" borderId="37" xfId="0" applyFont="1" applyFill="1" applyBorder="1" applyAlignment="1">
      <alignment/>
    </xf>
    <xf numFmtId="0" fontId="0" fillId="22" borderId="34" xfId="0" applyFont="1" applyFill="1" applyBorder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6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0</xdr:colOff>
      <xdr:row>28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171450"/>
          <a:ext cx="4105275" cy="4381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38100</xdr:rowOff>
    </xdr:from>
    <xdr:to>
      <xdr:col>4</xdr:col>
      <xdr:colOff>657225</xdr:colOff>
      <xdr:row>3</xdr:row>
      <xdr:rowOff>85725</xdr:rowOff>
    </xdr:to>
    <xdr:sp>
      <xdr:nvSpPr>
        <xdr:cNvPr id="2" name="WordArt 3"/>
        <xdr:cNvSpPr>
          <a:spLocks/>
        </xdr:cNvSpPr>
      </xdr:nvSpPr>
      <xdr:spPr>
        <a:xfrm>
          <a:off x="1905000" y="361950"/>
          <a:ext cx="14954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В.Н. Дементьев</a:t>
          </a:r>
        </a:p>
      </xdr:txBody>
    </xdr:sp>
    <xdr:clientData/>
  </xdr:twoCellAnchor>
  <xdr:twoCellAnchor>
    <xdr:from>
      <xdr:col>2</xdr:col>
      <xdr:colOff>600075</xdr:colOff>
      <xdr:row>5</xdr:row>
      <xdr:rowOff>66675</xdr:rowOff>
    </xdr:from>
    <xdr:to>
      <xdr:col>5</xdr:col>
      <xdr:colOff>19050</xdr:colOff>
      <xdr:row>9</xdr:row>
      <xdr:rowOff>47625</xdr:rowOff>
    </xdr:to>
    <xdr:sp>
      <xdr:nvSpPr>
        <xdr:cNvPr id="3" name="WordArt 4"/>
        <xdr:cNvSpPr>
          <a:spLocks/>
        </xdr:cNvSpPr>
      </xdr:nvSpPr>
      <xdr:spPr>
        <a:xfrm>
          <a:off x="1971675" y="876300"/>
          <a:ext cx="1476375" cy="6286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MS Excel</a:t>
          </a:r>
        </a:p>
      </xdr:txBody>
    </xdr:sp>
    <xdr:clientData/>
  </xdr:twoCellAnchor>
  <xdr:twoCellAnchor>
    <xdr:from>
      <xdr:col>1</xdr:col>
      <xdr:colOff>371475</xdr:colOff>
      <xdr:row>8</xdr:row>
      <xdr:rowOff>66675</xdr:rowOff>
    </xdr:from>
    <xdr:to>
      <xdr:col>6</xdr:col>
      <xdr:colOff>314325</xdr:colOff>
      <xdr:row>19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57275" y="1362075"/>
          <a:ext cx="3371850" cy="17240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FFFFFF"/>
                </a:solidFill>
                <a:prstDash val="sysDash"/>
                <a:headEnd type="none"/>
                <a:tailEnd type="none"/>
              </a:ln>
              <a:solidFill>
                <a:srgbClr val="0000FF"/>
              </a:solidFill>
              <a:latin typeface="Impact"/>
              <a:cs typeface="Impact"/>
            </a:rPr>
            <a:t>в решении учебных и производственныхзооинженерных задач</a:t>
          </a:r>
        </a:p>
      </xdr:txBody>
    </xdr:sp>
    <xdr:clientData/>
  </xdr:twoCellAnchor>
  <xdr:twoCellAnchor>
    <xdr:from>
      <xdr:col>1</xdr:col>
      <xdr:colOff>428625</xdr:colOff>
      <xdr:row>23</xdr:row>
      <xdr:rowOff>95250</xdr:rowOff>
    </xdr:from>
    <xdr:to>
      <xdr:col>6</xdr:col>
      <xdr:colOff>171450</xdr:colOff>
      <xdr:row>26</xdr:row>
      <xdr:rowOff>66675</xdr:rowOff>
    </xdr:to>
    <xdr:sp>
      <xdr:nvSpPr>
        <xdr:cNvPr id="5" name="WordArt 10"/>
        <xdr:cNvSpPr>
          <a:spLocks/>
        </xdr:cNvSpPr>
      </xdr:nvSpPr>
      <xdr:spPr>
        <a:xfrm>
          <a:off x="1114425" y="3819525"/>
          <a:ext cx="3171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FFFFFF"/>
                </a:solidFill>
                <a:prstDash val="sysDash"/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ФГОУ ВО "Новосибирский госагроуниверситет"2018</a:t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6</xdr:col>
      <xdr:colOff>571500</xdr:colOff>
      <xdr:row>21</xdr:row>
      <xdr:rowOff>152400</xdr:rowOff>
    </xdr:to>
    <xdr:sp>
      <xdr:nvSpPr>
        <xdr:cNvPr id="6" name="WordArt 12"/>
        <xdr:cNvSpPr>
          <a:spLocks/>
        </xdr:cNvSpPr>
      </xdr:nvSpPr>
      <xdr:spPr>
        <a:xfrm>
          <a:off x="800100" y="3133725"/>
          <a:ext cx="3886200" cy="419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171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Электронный практикум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485775"/>
          <a:ext cx="2057400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2105025"/>
          <a:ext cx="4800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29000" y="485775"/>
          <a:ext cx="2057400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0</xdr:rowOff>
    </xdr:from>
    <xdr:to>
      <xdr:col>3</xdr:col>
      <xdr:colOff>676275</xdr:colOff>
      <xdr:row>22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04850" y="3076575"/>
          <a:ext cx="20288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Введите коэффициенты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корреляции и запишите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результат.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12</xdr:col>
      <xdr:colOff>0</xdr:colOff>
      <xdr:row>21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114800" y="0"/>
          <a:ext cx="4114800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5800" y="3619500"/>
          <a:ext cx="75438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21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114800" y="0"/>
          <a:ext cx="4114800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85800" y="4105275"/>
          <a:ext cx="75438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609850"/>
          <a:ext cx="64960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66675</xdr:rowOff>
    </xdr:from>
    <xdr:to>
      <xdr:col>5</xdr:col>
      <xdr:colOff>323850</xdr:colOff>
      <xdr:row>4</xdr:row>
      <xdr:rowOff>47625</xdr:rowOff>
    </xdr:to>
    <xdr:sp>
      <xdr:nvSpPr>
        <xdr:cNvPr id="1" name="WordArt 8"/>
        <xdr:cNvSpPr>
          <a:spLocks/>
        </xdr:cNvSpPr>
      </xdr:nvSpPr>
      <xdr:spPr>
        <a:xfrm>
          <a:off x="1571625" y="390525"/>
          <a:ext cx="21812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О практикуме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28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85800" y="161925"/>
          <a:ext cx="4114800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66675</xdr:rowOff>
    </xdr:from>
    <xdr:to>
      <xdr:col>5</xdr:col>
      <xdr:colOff>180975</xdr:colOff>
      <xdr:row>4</xdr:row>
      <xdr:rowOff>47625</xdr:rowOff>
    </xdr:to>
    <xdr:sp>
      <xdr:nvSpPr>
        <xdr:cNvPr id="1" name="WordArt 8"/>
        <xdr:cNvSpPr>
          <a:spLocks/>
        </xdr:cNvSpPr>
      </xdr:nvSpPr>
      <xdr:spPr>
        <a:xfrm>
          <a:off x="1905000" y="390525"/>
          <a:ext cx="17049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3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"/>
              <a:cs typeface="Arial"/>
            </a:rPr>
            <a:t>Содержание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28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85800" y="161925"/>
          <a:ext cx="4114800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12</xdr:col>
      <xdr:colOff>657225</xdr:colOff>
      <xdr:row>31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448050" y="180975"/>
          <a:ext cx="5438775" cy="4848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ОБЪЕДИНЕНИЕ СТАТИСТИЧЕСКИХ ПАРАМЕТРОВ ВЫБОРОК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ОСНОВЕ ПРЕДВАРИТЕЛЬНО РАССЧИТАННЫХ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 КАЖДОЙ ВЫБОРКЕ: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 - число вариант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- средняя арифметическая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- статистическая ошибка средней арифметической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Допускается анализ при наличии от 2 до 20 выборок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ПОРЯДОК ДЕЙСТВИЙ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Если имеются данные, оставшиеся от предыдущего вычисления, очистите блок ячеек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B5:D24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 Для этого щелкните левой клавишей мыши на ячейке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и, не отпуская эту клавишу, протащите блок до ячейки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 Нажмите на клавиатуре клавишу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Delete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Введите для каждой выборки (по строкам) значения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 исчерпания данных.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Щелкните на ярлыке листа Результ и запишите данные объединенной совокупности.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Для следующих выборок повторите п. п. 1-3.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-----------------------------------------------------------------------------------------------------------------------------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проверки можно вначале, по п.п. 1-4, ввести следующие данные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Выборок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- 4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 выборки n          М          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(имеется!)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1                  4            7,75       0,479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2                  4            8,5         0,645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3                  4            9,25       0,629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4                  4          10,25       0,479</a:t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12</xdr:col>
      <xdr:colOff>409575</xdr:colOff>
      <xdr:row>30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6143625" y="3524250"/>
          <a:ext cx="2495550" cy="1362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листе Результ (округленно):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Число вариант      16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Общая средняя    8,94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Общая сигма        1,39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Общая ошибка      0,347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Общий Cv            15,5</a:t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4</xdr:col>
      <xdr:colOff>19050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4850" y="4210050"/>
          <a:ext cx="2057400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Разделение дробной и целой частей только через запятую. Наличие хотя бы одного числа с точкой приведет к общей ошибке вычислений.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23850"/>
          <a:ext cx="2743200" cy="3562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12</xdr:col>
      <xdr:colOff>657225</xdr:colOff>
      <xdr:row>31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448050" y="180975"/>
          <a:ext cx="5438775" cy="4848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ДИСПЕРСИОННЫЙ АНАЛИЗ ОДНОФАКТОРНОГО КОМПЛЕКСА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ОСНОВЕ ПРЕДВАРИТЕЛЬНО РАССЧИТАННЫХ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 КАЖДОЙ ГРАДАЦИИ: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 - число вариант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- средняя арифметическая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- статистическая ошибка средней арифметической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Допускается анализ при наличии от 2-х до 20 градаций сформированного дисперсионного комплекса.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ПОРЯДОК ДЕЙСТВИЙ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</a:t>
          </a:r>
          <a:r>
            <a:rPr lang="en-US" cap="none" sz="1000" b="0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Введите число градаций дисперсионного комплекса. ВНИМАНИЕ - ВАЖНО!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Если имеются данные, оставшиеся от предыдущего вычисления, очистите блок ячеек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B5:D24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 Для этого щелкните левой клавишей мыши на ячейке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и, не отпуская эту клавишу, протащите блок до ячейки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 Нажмите на клавиатуре клавишу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Delete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Введите для каждой градации (по строкам) значения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 исчерпания данных по комплексу.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Щелкните на ярлыке листа Результат и запишите данные дисперсионного анализа.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Для следующего дисперсионного комплекса повторите п. п. 1-4.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-----------------------------------------------------------------------------------------------------------------------------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проверки можно вначале, по п.п. 1-5, ввести следующие данные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Градаций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- 4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 град          n          М          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(имеется!)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1                  4            7,75       0,479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2                  4            8,5         0,645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3                  4            9,25       0,629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4                  4          10,25       0,479</a:t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12</xdr:col>
      <xdr:colOff>409575</xdr:colOff>
      <xdr:row>30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143625" y="3524250"/>
          <a:ext cx="2495550" cy="1362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листе Результат должно быть: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Снедекору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r(w)=0,393 (здесь и далее округлено)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F=3,59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Число степеней свободы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факторное - 3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случайное - 12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общее - 15</a:t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4</xdr:col>
      <xdr:colOff>19050</xdr:colOff>
      <xdr:row>31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04850" y="4210050"/>
          <a:ext cx="2057400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Разделение дробной и целой частей только через запятую. Наличие хотя бы одного числа с точкой приведет к общей ошибке вычислений.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323850"/>
          <a:ext cx="2743200" cy="3562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19050</xdr:rowOff>
    </xdr:from>
    <xdr:to>
      <xdr:col>13</xdr:col>
      <xdr:colOff>657225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133850" y="180975"/>
          <a:ext cx="5438775" cy="2647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ПРИБЛИЖЕННЫЙ ДИСПЕРСИОННЫЙ АНАЛИЗ ОДНОФАКТОРНОГО КОМПЛЕКСА ПРИ НАЛИЧИИ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 КАЖДОЙ ГРАДАЦИИ: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число вариант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min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минимальное значение признака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max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максимальное значение признака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Допускается анализ при наличии от 2-х до 20 градаций сформированного дисперсионного комплекса.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ПОРЯДОК ДЕЙСТВИЙ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</a:t>
          </a:r>
          <a:r>
            <a:rPr lang="en-US" cap="none" sz="1000" b="0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Введите число градаций дисперсионного комплекса. ВНИМАНИЕ - ВАЖНО!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Если имеются данные, оставшиеся от предыдущего вычисления, очистите блок ячеек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B5:D24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Введите для каждой градации (по строкам) значения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min,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max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таблицы - значение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соответствующее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до исчерпания данных по комплексу.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Щелкните на ярлыке листа Результ и запишите данные дисперсионного анализа.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Для следующего дисперсионного комплекса повторите п. п. 1-4.
</a:t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4</xdr:col>
      <xdr:colOff>19050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4850" y="4229100"/>
          <a:ext cx="205740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Разделение дробной и целой частей только через запятую. Наличие хотя бы одного числа с точкой приведет к общей ошибке вычислений.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61925"/>
          <a:ext cx="3429000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19050</xdr:rowOff>
    </xdr:from>
    <xdr:to>
      <xdr:col>11</xdr:col>
      <xdr:colOff>657225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19425" y="180975"/>
          <a:ext cx="5438775" cy="2257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ДИСПЕРСИОННЫЙ АНАЛИЗ ОДНОФАКТОРНОГО КОМПЛЕКСА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КАЧЕСТВЕННЫХ ПРИЗНАКОВ ПРИ НАЛИЧИИ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 КАЖДОЙ ГРАДАЦИИ: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общее число вариант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в т. ч. число вариант с изучаемым признаком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Допускается анализ при наличии от 2-х до 20 градаций сформированного дисперсионного комплекса.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ПОРЯДОК ДЕЙСТВИЙ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</a:t>
          </a:r>
          <a:r>
            <a:rPr lang="en-US" cap="none" sz="1000" b="0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Введите число градаций дисперсионного комплекса. ВНИМАНИЕ - ВАЖНО!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Если имеются данные, оставшиеся от предыдущего вычисления, очистите блок ячеек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B5:C24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Введите для каждой градации (по строкам) значения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Щелкните на ярлыке листа РезДК и запишите данные дисперсионного анализа.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Для следующего дисперсионного комплекса повторите п. п. 1-4.
</a:t>
          </a:r>
        </a:p>
      </xdr:txBody>
    </xdr:sp>
    <xdr:clientData/>
  </xdr:twoCellAnchor>
  <xdr:twoCellAnchor>
    <xdr:from>
      <xdr:col>3</xdr:col>
      <xdr:colOff>666750</xdr:colOff>
      <xdr:row>17</xdr:row>
      <xdr:rowOff>9525</xdr:rowOff>
    </xdr:from>
    <xdr:to>
      <xdr:col>6</xdr:col>
      <xdr:colOff>647700</xdr:colOff>
      <xdr:row>22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981325" y="2762250"/>
          <a:ext cx="2038350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Разделение дробной и целой частей только через запятую. Наличие хотя бы одного числа с точкой приведет к общей ошибке вычислений.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19050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61925"/>
          <a:ext cx="2333625" cy="3724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4114800" cy="3562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00600" y="161925"/>
          <a:ext cx="3429000" cy="3724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10</xdr:col>
      <xdr:colOff>666750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695325" y="4048125"/>
          <a:ext cx="68294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 смене оцениваемой выборки: 1).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скопируйте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данные из ячеек D3, E3, F3 в ячейки I23, J23, K23;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2). на место ячеек D3, E3, F3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скопируйте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данные новой оцениваемой выборки; 3). на освободившееся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место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скпируйте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содержимое ячеек I23, J23, K23; 4) перейдите на лист РезОП. (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Копировать!!!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485775"/>
          <a:ext cx="274320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485775"/>
          <a:ext cx="274320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4</xdr:col>
      <xdr:colOff>676275</xdr:colOff>
      <xdr:row>20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704850" y="2781300"/>
          <a:ext cx="2714625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Введите по каждой выбоке значения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n, M, m.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Запишите F, v(1), v(2)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</sheetPr>
  <dimension ref="A1:I21"/>
  <sheetViews>
    <sheetView tabSelected="1" zoomScalePageLayoutView="0" workbookViewId="0" topLeftCell="A1">
      <selection activeCell="A16" sqref="A16"/>
    </sheetView>
  </sheetViews>
  <sheetFormatPr defaultColWidth="9.00390625" defaultRowHeight="12.75"/>
  <sheetData>
    <row r="1" ht="12.75">
      <c r="A1" t="s">
        <v>7</v>
      </c>
    </row>
    <row r="21" ht="12.75">
      <c r="I21" t="s">
        <v>7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13"/>
  </sheetPr>
  <dimension ref="A2:M28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12.375" style="0" bestFit="1" customWidth="1"/>
  </cols>
  <sheetData>
    <row r="2" spans="1:4" ht="12.75">
      <c r="A2" s="52"/>
      <c r="B2" s="53"/>
      <c r="C2" s="53"/>
      <c r="D2" s="60"/>
    </row>
    <row r="3" spans="1:4" ht="12.75">
      <c r="A3" s="57" t="s">
        <v>14</v>
      </c>
      <c r="B3" s="40">
        <v>5</v>
      </c>
      <c r="C3" s="55"/>
      <c r="D3" s="60"/>
    </row>
    <row r="4" spans="1:4" ht="12.75">
      <c r="A4" s="57" t="s">
        <v>17</v>
      </c>
      <c r="B4" s="58" t="s">
        <v>0</v>
      </c>
      <c r="C4" s="58" t="s">
        <v>2</v>
      </c>
      <c r="D4" s="61"/>
    </row>
    <row r="5" spans="1:4" ht="12.75">
      <c r="A5" s="5">
        <v>1</v>
      </c>
      <c r="B5" s="21">
        <v>20</v>
      </c>
      <c r="C5" s="22">
        <v>2</v>
      </c>
      <c r="D5" s="25"/>
    </row>
    <row r="6" spans="1:4" ht="12.75">
      <c r="A6" s="5">
        <v>2</v>
      </c>
      <c r="B6" s="24">
        <v>30</v>
      </c>
      <c r="C6" s="25">
        <v>3</v>
      </c>
      <c r="D6" s="25"/>
    </row>
    <row r="7" spans="1:4" ht="12.75">
      <c r="A7" s="5">
        <v>3</v>
      </c>
      <c r="B7" s="24">
        <v>40</v>
      </c>
      <c r="C7" s="25">
        <v>8</v>
      </c>
      <c r="D7" s="25"/>
    </row>
    <row r="8" spans="1:4" ht="12.75">
      <c r="A8" s="5">
        <v>4</v>
      </c>
      <c r="B8" s="24">
        <v>30</v>
      </c>
      <c r="C8" s="25">
        <v>15</v>
      </c>
      <c r="D8" s="25"/>
    </row>
    <row r="9" spans="1:4" ht="12.75">
      <c r="A9" s="5">
        <v>5</v>
      </c>
      <c r="B9" s="24">
        <v>40</v>
      </c>
      <c r="C9" s="25">
        <v>20</v>
      </c>
      <c r="D9" s="25"/>
    </row>
    <row r="10" spans="1:4" ht="12.75">
      <c r="A10" s="5">
        <v>6</v>
      </c>
      <c r="B10" s="24"/>
      <c r="C10" s="25"/>
      <c r="D10" s="25"/>
    </row>
    <row r="11" spans="1:4" ht="12.75">
      <c r="A11" s="5">
        <v>7</v>
      </c>
      <c r="B11" s="24"/>
      <c r="C11" s="25"/>
      <c r="D11" s="25"/>
    </row>
    <row r="12" spans="1:4" ht="12.75">
      <c r="A12" s="5">
        <v>8</v>
      </c>
      <c r="B12" s="24"/>
      <c r="C12" s="25"/>
      <c r="D12" s="25"/>
    </row>
    <row r="13" spans="1:4" ht="12.75">
      <c r="A13" s="5">
        <v>9</v>
      </c>
      <c r="B13" s="24"/>
      <c r="C13" s="25"/>
      <c r="D13" s="25"/>
    </row>
    <row r="14" spans="1:4" ht="12.75">
      <c r="A14" s="5">
        <v>10</v>
      </c>
      <c r="B14" s="24"/>
      <c r="C14" s="25"/>
      <c r="D14" s="25"/>
    </row>
    <row r="15" spans="1:4" ht="12.75">
      <c r="A15" s="5">
        <v>11</v>
      </c>
      <c r="B15" s="24"/>
      <c r="C15" s="25"/>
      <c r="D15" s="25"/>
    </row>
    <row r="16" spans="1:4" ht="12.75">
      <c r="A16" s="5">
        <v>12</v>
      </c>
      <c r="B16" s="24"/>
      <c r="C16" s="25"/>
      <c r="D16" s="25"/>
    </row>
    <row r="17" spans="1:4" ht="12.75">
      <c r="A17" s="5">
        <v>13</v>
      </c>
      <c r="B17" s="24"/>
      <c r="C17" s="25"/>
      <c r="D17" s="25"/>
    </row>
    <row r="18" spans="1:4" ht="12.75">
      <c r="A18" s="5">
        <v>14</v>
      </c>
      <c r="B18" s="24"/>
      <c r="C18" s="25"/>
      <c r="D18" s="25"/>
    </row>
    <row r="19" spans="1:13" ht="12.75">
      <c r="A19" s="5">
        <v>15</v>
      </c>
      <c r="B19" s="24"/>
      <c r="C19" s="25"/>
      <c r="D19" s="25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75">
      <c r="A20" s="5">
        <v>16</v>
      </c>
      <c r="B20" s="24"/>
      <c r="C20" s="25"/>
      <c r="D20" s="25"/>
      <c r="E20" s="62"/>
      <c r="F20" s="62"/>
      <c r="G20" s="62"/>
      <c r="H20" s="62"/>
      <c r="I20" s="62"/>
      <c r="J20" s="62"/>
      <c r="K20" s="62"/>
      <c r="L20" s="62"/>
      <c r="M20" s="41"/>
    </row>
    <row r="21" spans="1:13" ht="12.75">
      <c r="A21" s="5">
        <v>17</v>
      </c>
      <c r="B21" s="24"/>
      <c r="C21" s="25"/>
      <c r="D21" s="25"/>
      <c r="E21" s="63"/>
      <c r="F21" s="63"/>
      <c r="G21" s="63"/>
      <c r="H21" s="63"/>
      <c r="I21" s="63"/>
      <c r="J21" s="63"/>
      <c r="K21" s="47"/>
      <c r="L21" s="63"/>
      <c r="M21" s="41"/>
    </row>
    <row r="22" spans="1:13" ht="12.75">
      <c r="A22" s="5">
        <v>18</v>
      </c>
      <c r="B22" s="24"/>
      <c r="C22" s="25"/>
      <c r="D22" s="25"/>
      <c r="E22" s="63"/>
      <c r="F22" s="63"/>
      <c r="G22" s="63"/>
      <c r="H22" s="63"/>
      <c r="I22" s="63"/>
      <c r="J22" s="63"/>
      <c r="K22" s="47"/>
      <c r="L22" s="63"/>
      <c r="M22" s="41"/>
    </row>
    <row r="23" spans="1:13" ht="12.75">
      <c r="A23" s="5">
        <v>19</v>
      </c>
      <c r="B23" s="24"/>
      <c r="C23" s="25"/>
      <c r="D23" s="25"/>
      <c r="E23" s="63"/>
      <c r="F23" s="63"/>
      <c r="G23" s="63"/>
      <c r="H23" s="63"/>
      <c r="I23" s="63"/>
      <c r="J23" s="63"/>
      <c r="K23" s="47"/>
      <c r="L23" s="63"/>
      <c r="M23" s="41"/>
    </row>
    <row r="24" spans="1:13" ht="12.75">
      <c r="A24" s="6">
        <v>20</v>
      </c>
      <c r="B24" s="27"/>
      <c r="C24" s="28"/>
      <c r="D24" s="25"/>
      <c r="E24" s="63"/>
      <c r="F24" s="63"/>
      <c r="G24" s="63"/>
      <c r="H24" s="63"/>
      <c r="I24" s="63"/>
      <c r="J24" s="63"/>
      <c r="K24" s="47"/>
      <c r="L24" s="63"/>
      <c r="M24" s="41"/>
    </row>
    <row r="25" spans="5:13" ht="12.75">
      <c r="E25" s="63"/>
      <c r="F25" s="63"/>
      <c r="G25" s="63"/>
      <c r="H25" s="63"/>
      <c r="I25" s="63"/>
      <c r="J25" s="63"/>
      <c r="K25" s="47"/>
      <c r="L25" s="63"/>
      <c r="M25" s="41"/>
    </row>
    <row r="26" spans="5:13" ht="12.75">
      <c r="E26" s="63"/>
      <c r="F26" s="63"/>
      <c r="G26" s="63"/>
      <c r="H26" s="63"/>
      <c r="I26" s="63"/>
      <c r="J26" s="63"/>
      <c r="K26" s="47"/>
      <c r="L26" s="63"/>
      <c r="M26" s="41"/>
    </row>
    <row r="27" spans="5:13" ht="12.75">
      <c r="E27" s="63"/>
      <c r="F27" s="63"/>
      <c r="G27" s="63"/>
      <c r="H27" s="63"/>
      <c r="I27" s="63"/>
      <c r="J27" s="63"/>
      <c r="K27" s="63"/>
      <c r="L27" s="63"/>
      <c r="M27" s="41"/>
    </row>
    <row r="28" spans="5:13" ht="12.75">
      <c r="E28" s="41"/>
      <c r="F28" s="41"/>
      <c r="G28" s="41"/>
      <c r="H28" s="41"/>
      <c r="I28" s="41"/>
      <c r="J28" s="41"/>
      <c r="K28" s="41"/>
      <c r="L28" s="41"/>
      <c r="M28" s="41"/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tabColor indexed="13"/>
  </sheetPr>
  <dimension ref="A1:N25"/>
  <sheetViews>
    <sheetView zoomScalePageLayoutView="0" workbookViewId="0" topLeftCell="A1">
      <selection activeCell="B4" sqref="B4"/>
    </sheetView>
  </sheetViews>
  <sheetFormatPr defaultColWidth="9.00390625" defaultRowHeight="12.75"/>
  <sheetData>
    <row r="1" ht="12.75">
      <c r="B1" s="51" t="s">
        <v>61</v>
      </c>
    </row>
    <row r="2" ht="12.75">
      <c r="B2" s="1" t="s">
        <v>63</v>
      </c>
    </row>
    <row r="3" spans="1:2" ht="12.75">
      <c r="A3" t="s">
        <v>14</v>
      </c>
      <c r="B3">
        <f>'ДИСПАН-КАЧ'!B3</f>
        <v>5</v>
      </c>
    </row>
    <row r="4" spans="1:14" ht="12.75">
      <c r="A4" t="s">
        <v>17</v>
      </c>
      <c r="B4" s="1" t="s">
        <v>0</v>
      </c>
      <c r="C4" s="1" t="s">
        <v>2</v>
      </c>
      <c r="D4" s="1" t="s">
        <v>6</v>
      </c>
      <c r="E4" s="1" t="s">
        <v>53</v>
      </c>
      <c r="F4" s="1"/>
      <c r="G4" s="1"/>
      <c r="H4" s="1"/>
      <c r="I4" s="1"/>
      <c r="J4" s="1"/>
      <c r="K4" s="1" t="s">
        <v>21</v>
      </c>
      <c r="M4" s="2" t="s">
        <v>22</v>
      </c>
      <c r="N4" s="3"/>
    </row>
    <row r="5" spans="1:14" ht="12.75">
      <c r="A5">
        <v>1</v>
      </c>
      <c r="B5">
        <f>'ДИСПАН-КАЧ'!B5</f>
        <v>20</v>
      </c>
      <c r="C5">
        <f>'ДИСПАН-КАЧ'!C5</f>
        <v>2</v>
      </c>
      <c r="D5">
        <f>IF(B5&gt;0,(C5^2)/B5,0)</f>
        <v>0.2</v>
      </c>
      <c r="E5">
        <f>IF(B5&gt;0,C5/B5,0)</f>
        <v>0.1</v>
      </c>
      <c r="K5" t="s">
        <v>9</v>
      </c>
      <c r="L5">
        <f>IF(C25&gt;F25,C25-F25,0)</f>
        <v>33.6</v>
      </c>
      <c r="M5" s="8"/>
      <c r="N5" s="9"/>
    </row>
    <row r="6" spans="1:14" ht="12.75">
      <c r="A6">
        <v>2</v>
      </c>
      <c r="B6">
        <f>'ДИСПАН-КАЧ'!B6</f>
        <v>30</v>
      </c>
      <c r="C6">
        <f>'ДИСПАН-КАЧ'!C6</f>
        <v>3</v>
      </c>
      <c r="D6">
        <f aca="true" t="shared" si="0" ref="D6:D24">IF(B6&gt;0,(C6^2)/B6,0)</f>
        <v>0.3</v>
      </c>
      <c r="E6">
        <f aca="true" t="shared" si="1" ref="E6:E24">IF(B6&gt;0,C6/B6,0)</f>
        <v>0.1</v>
      </c>
      <c r="K6" t="s">
        <v>10</v>
      </c>
      <c r="L6">
        <f>IF(D25&gt;F25,D25-F25,0)</f>
        <v>5.200000000000001</v>
      </c>
      <c r="M6" s="10" t="s">
        <v>12</v>
      </c>
      <c r="N6" s="3">
        <f>IF(B3&gt;1,L6/(B3-1),0)</f>
        <v>1.3000000000000003</v>
      </c>
    </row>
    <row r="7" spans="1:14" ht="12.75">
      <c r="A7">
        <v>3</v>
      </c>
      <c r="B7">
        <f>'ДИСПАН-КАЧ'!B7</f>
        <v>40</v>
      </c>
      <c r="C7">
        <f>'ДИСПАН-КАЧ'!C7</f>
        <v>8</v>
      </c>
      <c r="D7">
        <f t="shared" si="0"/>
        <v>1.6</v>
      </c>
      <c r="E7">
        <f t="shared" si="1"/>
        <v>0.2</v>
      </c>
      <c r="K7" t="s">
        <v>11</v>
      </c>
      <c r="L7">
        <f>IF(C25&gt;D25,C25-D25,0)</f>
        <v>28.4</v>
      </c>
      <c r="M7" s="5" t="s">
        <v>13</v>
      </c>
      <c r="N7" s="4">
        <f>IF(B25&gt;B3,L7/(B25-B3),0)</f>
        <v>0.1832258064516129</v>
      </c>
    </row>
    <row r="8" spans="1:14" ht="12.75">
      <c r="A8">
        <v>4</v>
      </c>
      <c r="B8">
        <f>'ДИСПАН-КАЧ'!B8</f>
        <v>30</v>
      </c>
      <c r="C8">
        <f>'ДИСПАН-КАЧ'!C8</f>
        <v>15</v>
      </c>
      <c r="D8">
        <f t="shared" si="0"/>
        <v>7.5</v>
      </c>
      <c r="E8">
        <f t="shared" si="1"/>
        <v>0.5</v>
      </c>
      <c r="K8" t="s">
        <v>20</v>
      </c>
      <c r="L8">
        <f>SUM(L6:L7)</f>
        <v>33.6</v>
      </c>
      <c r="M8" s="5"/>
      <c r="N8" s="4"/>
    </row>
    <row r="9" spans="1:14" ht="12.75">
      <c r="A9">
        <v>5</v>
      </c>
      <c r="B9">
        <f>'ДИСПАН-КАЧ'!B9</f>
        <v>40</v>
      </c>
      <c r="C9">
        <f>'ДИСПАН-КАЧ'!C9</f>
        <v>20</v>
      </c>
      <c r="D9">
        <f t="shared" si="0"/>
        <v>10</v>
      </c>
      <c r="E9">
        <f t="shared" si="1"/>
        <v>0.5</v>
      </c>
      <c r="M9" s="5"/>
      <c r="N9" s="4"/>
    </row>
    <row r="10" spans="1:14" ht="12.75">
      <c r="A10">
        <v>6</v>
      </c>
      <c r="B10">
        <f>'ДИСПАН-КАЧ'!B10</f>
        <v>0</v>
      </c>
      <c r="C10">
        <f>'ДИСПАН-КАЧ'!C10</f>
        <v>0</v>
      </c>
      <c r="D10">
        <f t="shared" si="0"/>
        <v>0</v>
      </c>
      <c r="E10">
        <f t="shared" si="1"/>
        <v>0</v>
      </c>
      <c r="K10" t="s">
        <v>24</v>
      </c>
      <c r="M10" s="5" t="s">
        <v>15</v>
      </c>
      <c r="N10" s="4"/>
    </row>
    <row r="11" spans="1:14" ht="12.75">
      <c r="A11">
        <v>7</v>
      </c>
      <c r="B11">
        <f>'ДИСПАН-КАЧ'!B11</f>
        <v>0</v>
      </c>
      <c r="C11">
        <f>'ДИСПАН-КАЧ'!C11</f>
        <v>0</v>
      </c>
      <c r="D11">
        <f t="shared" si="0"/>
        <v>0</v>
      </c>
      <c r="E11">
        <f t="shared" si="1"/>
        <v>0</v>
      </c>
      <c r="K11" t="s">
        <v>25</v>
      </c>
      <c r="M11" s="6" t="s">
        <v>16</v>
      </c>
      <c r="N11" s="7">
        <f>IF(N7&gt;0,N6/N7,0)</f>
        <v>7.095070422535213</v>
      </c>
    </row>
    <row r="12" spans="1:14" ht="12.75">
      <c r="A12">
        <v>8</v>
      </c>
      <c r="B12">
        <f>'ДИСПАН-КАЧ'!B12</f>
        <v>0</v>
      </c>
      <c r="C12">
        <f>'ДИСПАН-КАЧ'!C12</f>
        <v>0</v>
      </c>
      <c r="D12">
        <f t="shared" si="0"/>
        <v>0</v>
      </c>
      <c r="E12">
        <f t="shared" si="1"/>
        <v>0</v>
      </c>
      <c r="M12" s="5"/>
      <c r="N12" s="4"/>
    </row>
    <row r="13" spans="1:14" ht="12.75">
      <c r="A13">
        <v>9</v>
      </c>
      <c r="B13">
        <f>'ДИСПАН-КАЧ'!B13</f>
        <v>0</v>
      </c>
      <c r="C13">
        <f>'ДИСПАН-КАЧ'!C13</f>
        <v>0</v>
      </c>
      <c r="D13">
        <f t="shared" si="0"/>
        <v>0</v>
      </c>
      <c r="E13">
        <f t="shared" si="1"/>
        <v>0</v>
      </c>
      <c r="M13" s="8" t="s">
        <v>26</v>
      </c>
      <c r="N13" s="9"/>
    </row>
    <row r="14" spans="1:14" ht="12.75">
      <c r="A14">
        <v>10</v>
      </c>
      <c r="B14">
        <f>'ДИСПАН-КАЧ'!B14</f>
        <v>0</v>
      </c>
      <c r="C14">
        <f>'ДИСПАН-КАЧ'!C14</f>
        <v>0</v>
      </c>
      <c r="D14">
        <f t="shared" si="0"/>
        <v>0</v>
      </c>
      <c r="E14">
        <f t="shared" si="1"/>
        <v>0</v>
      </c>
      <c r="M14" s="10"/>
      <c r="N14" s="3"/>
    </row>
    <row r="15" spans="1:14" ht="12.75">
      <c r="A15">
        <v>11</v>
      </c>
      <c r="B15">
        <f>'ДИСПАН-КАЧ'!B15</f>
        <v>0</v>
      </c>
      <c r="C15">
        <f>'ДИСПАН-КАЧ'!C15</f>
        <v>0</v>
      </c>
      <c r="D15">
        <f t="shared" si="0"/>
        <v>0</v>
      </c>
      <c r="E15">
        <f t="shared" si="1"/>
        <v>0</v>
      </c>
      <c r="M15" s="5" t="s">
        <v>27</v>
      </c>
      <c r="N15" s="4">
        <f>IF(L5&gt;0,L6/L5,0)</f>
        <v>0.1547619047619048</v>
      </c>
    </row>
    <row r="16" spans="1:14" ht="12.75">
      <c r="A16">
        <v>12</v>
      </c>
      <c r="B16">
        <f>'ДИСПАН-КАЧ'!B16</f>
        <v>0</v>
      </c>
      <c r="C16">
        <f>'ДИСПАН-КАЧ'!C16</f>
        <v>0</v>
      </c>
      <c r="D16">
        <f t="shared" si="0"/>
        <v>0</v>
      </c>
      <c r="E16">
        <f t="shared" si="1"/>
        <v>0</v>
      </c>
      <c r="M16" s="5" t="s">
        <v>28</v>
      </c>
      <c r="N16" s="4">
        <f>IF(B25&gt;0,(1-N15)*((B3-1)/(B25-B3)),0)</f>
        <v>0.021812596006144394</v>
      </c>
    </row>
    <row r="17" spans="1:14" ht="12.75">
      <c r="A17">
        <v>13</v>
      </c>
      <c r="B17">
        <f>'ДИСПАН-КАЧ'!B17</f>
        <v>0</v>
      </c>
      <c r="C17">
        <f>'ДИСПАН-КАЧ'!C17</f>
        <v>0</v>
      </c>
      <c r="D17">
        <f t="shared" si="0"/>
        <v>0</v>
      </c>
      <c r="E17">
        <f t="shared" si="1"/>
        <v>0</v>
      </c>
      <c r="K17" t="s">
        <v>29</v>
      </c>
      <c r="M17" s="6" t="s">
        <v>30</v>
      </c>
      <c r="N17" s="7">
        <f>IF(N16&gt;0,N15/N16,0)</f>
        <v>7.095070422535213</v>
      </c>
    </row>
    <row r="18" spans="1:14" ht="12.75">
      <c r="A18">
        <v>14</v>
      </c>
      <c r="B18">
        <f>'ДИСПАН-КАЧ'!B18</f>
        <v>0</v>
      </c>
      <c r="C18">
        <f>'ДИСПАН-КАЧ'!C18</f>
        <v>0</v>
      </c>
      <c r="D18">
        <f t="shared" si="0"/>
        <v>0</v>
      </c>
      <c r="E18">
        <f t="shared" si="1"/>
        <v>0</v>
      </c>
      <c r="M18" s="5"/>
      <c r="N18" s="4"/>
    </row>
    <row r="19" spans="1:14" ht="12.75">
      <c r="A19">
        <v>15</v>
      </c>
      <c r="B19">
        <f>'ДИСПАН-КАЧ'!B19</f>
        <v>0</v>
      </c>
      <c r="C19">
        <f>'ДИСПАН-КАЧ'!C19</f>
        <v>0</v>
      </c>
      <c r="D19">
        <f t="shared" si="0"/>
        <v>0</v>
      </c>
      <c r="E19">
        <f t="shared" si="1"/>
        <v>0</v>
      </c>
      <c r="K19" t="s">
        <v>31</v>
      </c>
      <c r="M19" s="11" t="s">
        <v>32</v>
      </c>
      <c r="N19" s="12"/>
    </row>
    <row r="20" spans="1:14" ht="12.75">
      <c r="A20">
        <v>16</v>
      </c>
      <c r="B20">
        <f>'ДИСПАН-КАЧ'!B20</f>
        <v>0</v>
      </c>
      <c r="C20">
        <f>'ДИСПАН-КАЧ'!C20</f>
        <v>0</v>
      </c>
      <c r="D20">
        <f t="shared" si="0"/>
        <v>0</v>
      </c>
      <c r="E20">
        <f t="shared" si="1"/>
        <v>0</v>
      </c>
      <c r="M20" s="13"/>
      <c r="N20" s="14">
        <f>IF(B3&gt;1,B3-1,0)</f>
        <v>4</v>
      </c>
    </row>
    <row r="21" spans="1:14" ht="12.75">
      <c r="A21">
        <v>17</v>
      </c>
      <c r="B21">
        <f>'ДИСПАН-КАЧ'!B21</f>
        <v>0</v>
      </c>
      <c r="C21">
        <f>'ДИСПАН-КАЧ'!C21</f>
        <v>0</v>
      </c>
      <c r="D21">
        <f t="shared" si="0"/>
        <v>0</v>
      </c>
      <c r="E21">
        <f t="shared" si="1"/>
        <v>0</v>
      </c>
      <c r="M21" s="13" t="s">
        <v>33</v>
      </c>
      <c r="N21" s="14"/>
    </row>
    <row r="22" spans="1:14" ht="12.75">
      <c r="A22">
        <v>18</v>
      </c>
      <c r="B22">
        <f>'ДИСПАН-КАЧ'!B22</f>
        <v>0</v>
      </c>
      <c r="C22">
        <f>'ДИСПАН-КАЧ'!C22</f>
        <v>0</v>
      </c>
      <c r="D22">
        <f t="shared" si="0"/>
        <v>0</v>
      </c>
      <c r="E22">
        <f t="shared" si="1"/>
        <v>0</v>
      </c>
      <c r="M22" s="13"/>
      <c r="N22" s="14">
        <f>IF(B25&gt;0,B25-B3,0)</f>
        <v>155</v>
      </c>
    </row>
    <row r="23" spans="1:14" ht="12.75">
      <c r="A23">
        <v>19</v>
      </c>
      <c r="B23">
        <f>'ДИСПАН-КАЧ'!B23</f>
        <v>0</v>
      </c>
      <c r="C23">
        <f>'ДИСПАН-КАЧ'!C23</f>
        <v>0</v>
      </c>
      <c r="D23">
        <f t="shared" si="0"/>
        <v>0</v>
      </c>
      <c r="E23">
        <f t="shared" si="1"/>
        <v>0</v>
      </c>
      <c r="M23" s="13" t="s">
        <v>34</v>
      </c>
      <c r="N23" s="14"/>
    </row>
    <row r="24" spans="1:14" ht="12.75">
      <c r="A24">
        <v>20</v>
      </c>
      <c r="B24">
        <f>'ДИСПАН-КАЧ'!B24</f>
        <v>0</v>
      </c>
      <c r="C24">
        <f>'ДИСПАН-КАЧ'!C24</f>
        <v>0</v>
      </c>
      <c r="D24">
        <f t="shared" si="0"/>
        <v>0</v>
      </c>
      <c r="E24">
        <f t="shared" si="1"/>
        <v>0</v>
      </c>
      <c r="F24" s="1" t="s">
        <v>64</v>
      </c>
      <c r="M24" s="15"/>
      <c r="N24" s="16">
        <f>IF(B25&gt;0,B25-1,0)</f>
        <v>159</v>
      </c>
    </row>
    <row r="25" spans="1:6" ht="12.75">
      <c r="A25" t="s">
        <v>18</v>
      </c>
      <c r="B25">
        <f>SUM(B5:B24)</f>
        <v>160</v>
      </c>
      <c r="C25">
        <f>SUM(C5:C24)</f>
        <v>48</v>
      </c>
      <c r="D25">
        <f>SUM(D5:D24)</f>
        <v>19.6</v>
      </c>
      <c r="E25">
        <f>SUM(E5:E24)</f>
        <v>1.4</v>
      </c>
      <c r="F25">
        <f>IF(B25&gt;0,(C25^2)/B25,0)</f>
        <v>14.4</v>
      </c>
    </row>
  </sheetData>
  <sheetProtection password="C766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tabColor indexed="35"/>
  </sheetPr>
  <dimension ref="A2:L24"/>
  <sheetViews>
    <sheetView zoomScalePageLayoutView="0" workbookViewId="0" topLeftCell="A1">
      <selection activeCell="I23" sqref="I23"/>
    </sheetView>
  </sheetViews>
  <sheetFormatPr defaultColWidth="9.00390625" defaultRowHeight="12.75"/>
  <sheetData>
    <row r="2" spans="1:12" ht="12.75">
      <c r="A2" s="10"/>
      <c r="B2" s="64"/>
      <c r="C2" s="68" t="s">
        <v>78</v>
      </c>
      <c r="D2" s="38" t="s">
        <v>0</v>
      </c>
      <c r="E2" s="38" t="s">
        <v>1</v>
      </c>
      <c r="F2" s="39" t="s">
        <v>2</v>
      </c>
      <c r="H2" s="68" t="s">
        <v>68</v>
      </c>
      <c r="I2" s="32"/>
      <c r="J2" s="32"/>
      <c r="K2" s="32"/>
      <c r="L2" s="12"/>
    </row>
    <row r="3" spans="1:12" ht="12.75">
      <c r="A3" s="77" t="s">
        <v>66</v>
      </c>
      <c r="B3" s="75"/>
      <c r="C3" s="76"/>
      <c r="D3" s="79">
        <v>20</v>
      </c>
      <c r="E3" s="79">
        <v>11.8</v>
      </c>
      <c r="F3" s="79">
        <v>0.07</v>
      </c>
      <c r="H3" s="69" t="s">
        <v>69</v>
      </c>
      <c r="I3" s="70"/>
      <c r="J3" s="70"/>
      <c r="K3" s="70"/>
      <c r="L3" s="14"/>
    </row>
    <row r="4" spans="1:12" ht="12.75">
      <c r="A4" s="10" t="s">
        <v>67</v>
      </c>
      <c r="B4" s="3"/>
      <c r="C4" s="66">
        <v>1</v>
      </c>
      <c r="D4" s="25">
        <v>20</v>
      </c>
      <c r="E4" s="25">
        <v>10.7</v>
      </c>
      <c r="F4" s="26">
        <v>0.14</v>
      </c>
      <c r="H4" s="13" t="s">
        <v>70</v>
      </c>
      <c r="I4" s="70"/>
      <c r="J4" s="70"/>
      <c r="K4" s="70"/>
      <c r="L4" s="14"/>
    </row>
    <row r="5" spans="1:12" ht="12.75">
      <c r="A5" s="6" t="s">
        <v>47</v>
      </c>
      <c r="B5" s="7"/>
      <c r="C5" s="66">
        <v>2</v>
      </c>
      <c r="D5" s="25">
        <v>20</v>
      </c>
      <c r="E5" s="25">
        <v>10.8</v>
      </c>
      <c r="F5" s="26">
        <v>0.13</v>
      </c>
      <c r="H5" s="13" t="s">
        <v>71</v>
      </c>
      <c r="I5" s="70"/>
      <c r="J5" s="70"/>
      <c r="K5" s="70"/>
      <c r="L5" s="14"/>
    </row>
    <row r="6" spans="1:12" ht="12.75">
      <c r="A6" s="5"/>
      <c r="B6" s="41"/>
      <c r="C6" s="66">
        <v>3</v>
      </c>
      <c r="D6" s="79">
        <v>20</v>
      </c>
      <c r="E6" s="79">
        <v>10.5</v>
      </c>
      <c r="F6" s="26">
        <v>0.08</v>
      </c>
      <c r="H6" s="13" t="s">
        <v>72</v>
      </c>
      <c r="I6" s="70"/>
      <c r="J6" s="70"/>
      <c r="K6" s="70"/>
      <c r="L6" s="14"/>
    </row>
    <row r="7" spans="1:12" ht="12.75">
      <c r="A7" s="5"/>
      <c r="B7" s="41"/>
      <c r="C7" s="66">
        <v>4</v>
      </c>
      <c r="D7" s="79">
        <v>20</v>
      </c>
      <c r="E7" s="79">
        <v>10.1</v>
      </c>
      <c r="F7" s="26">
        <v>0.16</v>
      </c>
      <c r="H7" s="71" t="s">
        <v>74</v>
      </c>
      <c r="I7" s="70"/>
      <c r="J7" s="70"/>
      <c r="K7" s="70"/>
      <c r="L7" s="14"/>
    </row>
    <row r="8" spans="1:12" ht="12.75">
      <c r="A8" s="5"/>
      <c r="B8" s="41"/>
      <c r="C8" s="66">
        <v>5</v>
      </c>
      <c r="D8" s="79">
        <v>20</v>
      </c>
      <c r="E8" s="79">
        <v>10.9</v>
      </c>
      <c r="F8" s="79">
        <v>0.13</v>
      </c>
      <c r="H8" s="72" t="s">
        <v>73</v>
      </c>
      <c r="I8" s="70"/>
      <c r="J8" s="70"/>
      <c r="K8" s="70"/>
      <c r="L8" s="14"/>
    </row>
    <row r="9" spans="1:12" ht="12.75">
      <c r="A9" s="5"/>
      <c r="B9" s="41"/>
      <c r="C9" s="66">
        <v>6</v>
      </c>
      <c r="D9" s="25"/>
      <c r="E9" s="25"/>
      <c r="F9" s="26"/>
      <c r="H9" s="13" t="s">
        <v>75</v>
      </c>
      <c r="I9" s="70"/>
      <c r="J9" s="70"/>
      <c r="K9" s="70"/>
      <c r="L9" s="14"/>
    </row>
    <row r="10" spans="1:12" ht="12.75">
      <c r="A10" s="5"/>
      <c r="B10" s="41"/>
      <c r="C10" s="66">
        <v>7</v>
      </c>
      <c r="D10" s="25"/>
      <c r="E10" s="25"/>
      <c r="F10" s="26"/>
      <c r="H10" s="13" t="s">
        <v>83</v>
      </c>
      <c r="I10" s="70"/>
      <c r="J10" s="70"/>
      <c r="K10" s="70"/>
      <c r="L10" s="14"/>
    </row>
    <row r="11" spans="1:12" ht="12.75">
      <c r="A11" s="5"/>
      <c r="B11" s="41"/>
      <c r="C11" s="66">
        <v>8</v>
      </c>
      <c r="D11" s="25"/>
      <c r="E11" s="25"/>
      <c r="F11" s="26"/>
      <c r="H11" s="13" t="s">
        <v>76</v>
      </c>
      <c r="I11" s="70"/>
      <c r="J11" s="70"/>
      <c r="K11" s="70"/>
      <c r="L11" s="14"/>
    </row>
    <row r="12" spans="1:12" ht="12.75">
      <c r="A12" s="5"/>
      <c r="B12" s="41"/>
      <c r="C12" s="66">
        <v>9</v>
      </c>
      <c r="D12" s="25"/>
      <c r="E12" s="25"/>
      <c r="F12" s="26"/>
      <c r="H12" s="13" t="s">
        <v>84</v>
      </c>
      <c r="I12" s="70"/>
      <c r="J12" s="70"/>
      <c r="K12" s="70"/>
      <c r="L12" s="14"/>
    </row>
    <row r="13" spans="1:12" ht="12.75">
      <c r="A13" s="5"/>
      <c r="B13" s="41"/>
      <c r="C13" s="66">
        <v>10</v>
      </c>
      <c r="D13" s="25"/>
      <c r="E13" s="25"/>
      <c r="F13" s="26"/>
      <c r="H13" s="13" t="s">
        <v>77</v>
      </c>
      <c r="I13" s="70"/>
      <c r="J13" s="70"/>
      <c r="K13" s="70"/>
      <c r="L13" s="14"/>
    </row>
    <row r="14" spans="1:12" ht="12.75">
      <c r="A14" s="5"/>
      <c r="B14" s="41"/>
      <c r="C14" s="66">
        <v>11</v>
      </c>
      <c r="D14" s="25"/>
      <c r="E14" s="25"/>
      <c r="F14" s="26"/>
      <c r="H14" s="13" t="s">
        <v>79</v>
      </c>
      <c r="I14" s="70"/>
      <c r="J14" s="70"/>
      <c r="K14" s="70"/>
      <c r="L14" s="14"/>
    </row>
    <row r="15" spans="1:12" ht="12.75">
      <c r="A15" s="5"/>
      <c r="B15" s="41"/>
      <c r="C15" s="66">
        <v>12</v>
      </c>
      <c r="D15" s="25"/>
      <c r="E15" s="25"/>
      <c r="F15" s="26"/>
      <c r="H15" s="13" t="s">
        <v>80</v>
      </c>
      <c r="I15" s="70"/>
      <c r="J15" s="70"/>
      <c r="K15" s="70"/>
      <c r="L15" s="14"/>
    </row>
    <row r="16" spans="1:12" ht="12.75">
      <c r="A16" s="5"/>
      <c r="B16" s="41"/>
      <c r="C16" s="66">
        <v>13</v>
      </c>
      <c r="D16" s="25"/>
      <c r="E16" s="25"/>
      <c r="F16" s="26"/>
      <c r="H16" s="13" t="s">
        <v>81</v>
      </c>
      <c r="I16" s="70"/>
      <c r="J16" s="70"/>
      <c r="K16" s="70"/>
      <c r="L16" s="14"/>
    </row>
    <row r="17" spans="1:12" ht="12.75">
      <c r="A17" s="5"/>
      <c r="B17" s="41"/>
      <c r="C17" s="66">
        <v>14</v>
      </c>
      <c r="D17" s="25"/>
      <c r="E17" s="25"/>
      <c r="F17" s="26"/>
      <c r="H17" s="13" t="s">
        <v>82</v>
      </c>
      <c r="I17" s="70"/>
      <c r="J17" s="70"/>
      <c r="K17" s="70"/>
      <c r="L17" s="14"/>
    </row>
    <row r="18" spans="1:12" ht="12.75">
      <c r="A18" s="5"/>
      <c r="B18" s="41"/>
      <c r="C18" s="66">
        <v>15</v>
      </c>
      <c r="D18" s="25"/>
      <c r="E18" s="25"/>
      <c r="F18" s="26"/>
      <c r="H18" s="13" t="s">
        <v>85</v>
      </c>
      <c r="I18" s="70"/>
      <c r="J18" s="70"/>
      <c r="K18" s="70"/>
      <c r="L18" s="14"/>
    </row>
    <row r="19" spans="1:12" ht="12.75">
      <c r="A19" s="5"/>
      <c r="B19" s="41"/>
      <c r="C19" s="66">
        <v>16</v>
      </c>
      <c r="D19" s="25"/>
      <c r="E19" s="25"/>
      <c r="F19" s="26"/>
      <c r="H19" s="13" t="s">
        <v>86</v>
      </c>
      <c r="I19" s="70"/>
      <c r="J19" s="70"/>
      <c r="K19" s="70"/>
      <c r="L19" s="14"/>
    </row>
    <row r="20" spans="1:12" ht="12.75">
      <c r="A20" s="5"/>
      <c r="B20" s="41"/>
      <c r="C20" s="66">
        <v>17</v>
      </c>
      <c r="D20" s="25"/>
      <c r="E20" s="25"/>
      <c r="F20" s="26"/>
      <c r="H20" s="13" t="s">
        <v>87</v>
      </c>
      <c r="I20" s="70"/>
      <c r="J20" s="70"/>
      <c r="K20" s="70"/>
      <c r="L20" s="14"/>
    </row>
    <row r="21" spans="1:12" ht="12.75">
      <c r="A21" s="5"/>
      <c r="B21" s="41"/>
      <c r="C21" s="66">
        <v>18</v>
      </c>
      <c r="D21" s="25"/>
      <c r="E21" s="25"/>
      <c r="F21" s="26"/>
      <c r="H21" s="13" t="s">
        <v>88</v>
      </c>
      <c r="I21" s="70"/>
      <c r="J21" s="70"/>
      <c r="K21" s="70"/>
      <c r="L21" s="14"/>
    </row>
    <row r="22" spans="1:12" ht="12.75">
      <c r="A22" s="5"/>
      <c r="B22" s="41"/>
      <c r="C22" s="66">
        <v>19</v>
      </c>
      <c r="D22" s="25"/>
      <c r="E22" s="25"/>
      <c r="F22" s="26"/>
      <c r="H22" s="74"/>
      <c r="I22" s="78" t="s">
        <v>0</v>
      </c>
      <c r="J22" s="78" t="s">
        <v>1</v>
      </c>
      <c r="K22" s="78" t="s">
        <v>2</v>
      </c>
      <c r="L22" s="14"/>
    </row>
    <row r="23" spans="1:12" ht="12.75">
      <c r="A23" s="6"/>
      <c r="B23" s="65"/>
      <c r="C23" s="67">
        <v>20</v>
      </c>
      <c r="D23" s="28"/>
      <c r="E23" s="28"/>
      <c r="F23" s="29"/>
      <c r="H23" s="13"/>
      <c r="I23" s="79">
        <v>20</v>
      </c>
      <c r="J23" s="79">
        <v>10.9</v>
      </c>
      <c r="K23" s="79">
        <v>0.13</v>
      </c>
      <c r="L23" s="14"/>
    </row>
    <row r="24" spans="8:12" ht="12.75">
      <c r="H24" s="15"/>
      <c r="I24" s="73"/>
      <c r="J24" s="73"/>
      <c r="K24" s="73"/>
      <c r="L24" s="16"/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tabColor indexed="35"/>
  </sheetPr>
  <dimension ref="A1:M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4" max="4" width="10.25390625" style="0" bestFit="1" customWidth="1"/>
  </cols>
  <sheetData>
    <row r="1" ht="12.75">
      <c r="G1" s="51" t="s">
        <v>22</v>
      </c>
    </row>
    <row r="2" spans="3:10" ht="12.75">
      <c r="C2" t="s">
        <v>91</v>
      </c>
      <c r="D2" t="s">
        <v>0</v>
      </c>
      <c r="E2" t="s">
        <v>1</v>
      </c>
      <c r="F2" t="s">
        <v>2</v>
      </c>
      <c r="G2" s="1" t="s">
        <v>92</v>
      </c>
      <c r="H2" s="18" t="s">
        <v>93</v>
      </c>
      <c r="I2" s="1" t="s">
        <v>94</v>
      </c>
      <c r="J2" s="1" t="s">
        <v>95</v>
      </c>
    </row>
    <row r="3" spans="1:8" ht="12.75">
      <c r="A3" t="s">
        <v>89</v>
      </c>
      <c r="D3">
        <f>СНЕДЕКОР!D3</f>
        <v>20</v>
      </c>
      <c r="E3">
        <f>СНЕДЕКОР!E3</f>
        <v>11.8</v>
      </c>
      <c r="F3">
        <f>СНЕДЕКОР!F3</f>
        <v>0.07</v>
      </c>
      <c r="H3" s="18"/>
    </row>
    <row r="4" spans="1:10" ht="12.75">
      <c r="A4" t="s">
        <v>90</v>
      </c>
      <c r="C4">
        <v>1</v>
      </c>
      <c r="D4">
        <f>СНЕДЕКОР!D4</f>
        <v>20</v>
      </c>
      <c r="E4">
        <f>СНЕДЕКОР!E4</f>
        <v>10.7</v>
      </c>
      <c r="F4">
        <f>СНЕДЕКОР!F4</f>
        <v>0.14</v>
      </c>
      <c r="G4">
        <f>IF(E4&gt;0,(E4-$E$3),0)</f>
        <v>-1.1000000000000014</v>
      </c>
      <c r="H4" s="18">
        <f>IF(F4&gt;0,SQRT(F4^2+$F$3^2),0)</f>
        <v>0.15652475842498528</v>
      </c>
      <c r="I4">
        <f>IF(H4&gt;0,ABS(G4)/H4,0)</f>
        <v>7.027642214999348</v>
      </c>
      <c r="J4">
        <f>IF(D4&gt;0,(D4+$D$3-2),0)</f>
        <v>38</v>
      </c>
    </row>
    <row r="5" spans="3:10" ht="12.75">
      <c r="C5">
        <v>2</v>
      </c>
      <c r="D5">
        <f>СНЕДЕКОР!D5</f>
        <v>20</v>
      </c>
      <c r="E5">
        <f>СНЕДЕКОР!E5</f>
        <v>10.8</v>
      </c>
      <c r="F5">
        <f>СНЕДЕКОР!F5</f>
        <v>0.13</v>
      </c>
      <c r="G5">
        <f aca="true" t="shared" si="0" ref="G5:G23">IF(E5&gt;0,(E5-$E$3),0)</f>
        <v>-1</v>
      </c>
      <c r="H5" s="18">
        <f aca="true" t="shared" si="1" ref="H5:H23">IF(F5&gt;0,SQRT(F5^2+$F$3^2),0)</f>
        <v>0.147648230602334</v>
      </c>
      <c r="I5">
        <f aca="true" t="shared" si="2" ref="I5:I23">IF(H5&gt;0,ABS(G5)/H5,0)</f>
        <v>6.772854614785963</v>
      </c>
      <c r="J5">
        <f aca="true" t="shared" si="3" ref="J5:J23">IF(D5&gt;0,(D5+$D$3-2),0)</f>
        <v>38</v>
      </c>
    </row>
    <row r="6" spans="3:10" ht="12.75">
      <c r="C6">
        <v>3</v>
      </c>
      <c r="D6">
        <f>СНЕДЕКОР!D6</f>
        <v>20</v>
      </c>
      <c r="E6">
        <f>СНЕДЕКОР!E6</f>
        <v>10.5</v>
      </c>
      <c r="F6">
        <f>СНЕДЕКОР!F6</f>
        <v>0.08</v>
      </c>
      <c r="G6">
        <f t="shared" si="0"/>
        <v>-1.3000000000000007</v>
      </c>
      <c r="H6" s="18">
        <f t="shared" si="1"/>
        <v>0.1063014581273465</v>
      </c>
      <c r="I6">
        <f t="shared" si="2"/>
        <v>12.229371288986771</v>
      </c>
      <c r="J6">
        <f t="shared" si="3"/>
        <v>38</v>
      </c>
    </row>
    <row r="7" spans="3:10" ht="12.75">
      <c r="C7">
        <v>4</v>
      </c>
      <c r="D7">
        <f>СНЕДЕКОР!D7</f>
        <v>20</v>
      </c>
      <c r="E7">
        <f>СНЕДЕКОР!E7</f>
        <v>10.1</v>
      </c>
      <c r="F7">
        <f>СНЕДЕКОР!F7</f>
        <v>0.16</v>
      </c>
      <c r="G7">
        <f t="shared" si="0"/>
        <v>-1.700000000000001</v>
      </c>
      <c r="H7" s="18">
        <f t="shared" si="1"/>
        <v>0.1746424919657298</v>
      </c>
      <c r="I7">
        <f t="shared" si="2"/>
        <v>9.734171683335765</v>
      </c>
      <c r="J7">
        <f t="shared" si="3"/>
        <v>38</v>
      </c>
    </row>
    <row r="8" spans="3:10" ht="12.75">
      <c r="C8">
        <v>5</v>
      </c>
      <c r="D8">
        <f>СНЕДЕКОР!D8</f>
        <v>20</v>
      </c>
      <c r="E8">
        <f>СНЕДЕКОР!E8</f>
        <v>10.9</v>
      </c>
      <c r="F8">
        <f>СНЕДЕКОР!F8</f>
        <v>0.13</v>
      </c>
      <c r="G8">
        <f t="shared" si="0"/>
        <v>-0.9000000000000004</v>
      </c>
      <c r="H8" s="18">
        <f t="shared" si="1"/>
        <v>0.147648230602334</v>
      </c>
      <c r="I8">
        <f t="shared" si="2"/>
        <v>6.09556915330737</v>
      </c>
      <c r="J8">
        <f t="shared" si="3"/>
        <v>38</v>
      </c>
    </row>
    <row r="9" spans="3:10" ht="12.75">
      <c r="C9">
        <v>6</v>
      </c>
      <c r="D9">
        <f>СНЕДЕКОР!D9</f>
        <v>0</v>
      </c>
      <c r="E9">
        <f>СНЕДЕКОР!E9</f>
        <v>0</v>
      </c>
      <c r="F9">
        <f>СНЕДЕКОР!F9</f>
        <v>0</v>
      </c>
      <c r="G9">
        <f t="shared" si="0"/>
        <v>0</v>
      </c>
      <c r="H9" s="18">
        <f t="shared" si="1"/>
        <v>0</v>
      </c>
      <c r="I9">
        <f t="shared" si="2"/>
        <v>0</v>
      </c>
      <c r="J9">
        <f t="shared" si="3"/>
        <v>0</v>
      </c>
    </row>
    <row r="10" spans="3:10" ht="12.75">
      <c r="C10">
        <v>7</v>
      </c>
      <c r="D10">
        <f>СНЕДЕКОР!D10</f>
        <v>0</v>
      </c>
      <c r="E10">
        <f>СНЕДЕКОР!E10</f>
        <v>0</v>
      </c>
      <c r="F10">
        <f>СНЕДЕКОР!F10</f>
        <v>0</v>
      </c>
      <c r="G10">
        <f t="shared" si="0"/>
        <v>0</v>
      </c>
      <c r="H10" s="18">
        <f t="shared" si="1"/>
        <v>0</v>
      </c>
      <c r="I10">
        <f t="shared" si="2"/>
        <v>0</v>
      </c>
      <c r="J10">
        <f t="shared" si="3"/>
        <v>0</v>
      </c>
    </row>
    <row r="11" spans="3:10" ht="12.75">
      <c r="C11">
        <v>8</v>
      </c>
      <c r="D11">
        <f>СНЕДЕКОР!D11</f>
        <v>0</v>
      </c>
      <c r="E11">
        <f>СНЕДЕКОР!E11</f>
        <v>0</v>
      </c>
      <c r="F11">
        <f>СНЕДЕКОР!F11</f>
        <v>0</v>
      </c>
      <c r="G11">
        <f t="shared" si="0"/>
        <v>0</v>
      </c>
      <c r="H11" s="18">
        <f t="shared" si="1"/>
        <v>0</v>
      </c>
      <c r="I11">
        <f t="shared" si="2"/>
        <v>0</v>
      </c>
      <c r="J11">
        <f t="shared" si="3"/>
        <v>0</v>
      </c>
    </row>
    <row r="12" spans="3:10" ht="12.75">
      <c r="C12">
        <v>9</v>
      </c>
      <c r="D12">
        <f>СНЕДЕКОР!D12</f>
        <v>0</v>
      </c>
      <c r="E12">
        <f>СНЕДЕКОР!E12</f>
        <v>0</v>
      </c>
      <c r="F12">
        <f>СНЕДЕКОР!F12</f>
        <v>0</v>
      </c>
      <c r="G12">
        <f t="shared" si="0"/>
        <v>0</v>
      </c>
      <c r="H12" s="18">
        <f t="shared" si="1"/>
        <v>0</v>
      </c>
      <c r="I12">
        <f t="shared" si="2"/>
        <v>0</v>
      </c>
      <c r="J12">
        <f t="shared" si="3"/>
        <v>0</v>
      </c>
    </row>
    <row r="13" spans="3:10" ht="12.75">
      <c r="C13">
        <v>10</v>
      </c>
      <c r="D13">
        <f>СНЕДЕКОР!D13</f>
        <v>0</v>
      </c>
      <c r="E13">
        <f>СНЕДЕКОР!E13</f>
        <v>0</v>
      </c>
      <c r="F13">
        <f>СНЕДЕКОР!F13</f>
        <v>0</v>
      </c>
      <c r="G13">
        <f t="shared" si="0"/>
        <v>0</v>
      </c>
      <c r="H13" s="18">
        <f t="shared" si="1"/>
        <v>0</v>
      </c>
      <c r="I13">
        <f t="shared" si="2"/>
        <v>0</v>
      </c>
      <c r="J13">
        <f t="shared" si="3"/>
        <v>0</v>
      </c>
    </row>
    <row r="14" spans="3:10" ht="12.75">
      <c r="C14">
        <v>11</v>
      </c>
      <c r="D14">
        <f>СНЕДЕКОР!D14</f>
        <v>0</v>
      </c>
      <c r="E14">
        <f>СНЕДЕКОР!E14</f>
        <v>0</v>
      </c>
      <c r="F14">
        <f>СНЕДЕКОР!F14</f>
        <v>0</v>
      </c>
      <c r="G14">
        <f t="shared" si="0"/>
        <v>0</v>
      </c>
      <c r="H14" s="18">
        <f t="shared" si="1"/>
        <v>0</v>
      </c>
      <c r="I14">
        <f t="shared" si="2"/>
        <v>0</v>
      </c>
      <c r="J14">
        <f t="shared" si="3"/>
        <v>0</v>
      </c>
    </row>
    <row r="15" spans="3:10" ht="12.75">
      <c r="C15">
        <v>12</v>
      </c>
      <c r="D15">
        <f>СНЕДЕКОР!D15</f>
        <v>0</v>
      </c>
      <c r="E15">
        <f>СНЕДЕКОР!E15</f>
        <v>0</v>
      </c>
      <c r="F15">
        <f>СНЕДЕКОР!F15</f>
        <v>0</v>
      </c>
      <c r="G15">
        <f t="shared" si="0"/>
        <v>0</v>
      </c>
      <c r="H15" s="18">
        <f t="shared" si="1"/>
        <v>0</v>
      </c>
      <c r="I15">
        <f t="shared" si="2"/>
        <v>0</v>
      </c>
      <c r="J15">
        <f t="shared" si="3"/>
        <v>0</v>
      </c>
    </row>
    <row r="16" spans="3:10" ht="12.75">
      <c r="C16">
        <v>13</v>
      </c>
      <c r="D16">
        <f>СНЕДЕКОР!D16</f>
        <v>0</v>
      </c>
      <c r="E16">
        <f>СНЕДЕКОР!E16</f>
        <v>0</v>
      </c>
      <c r="F16">
        <f>СНЕДЕКОР!F16</f>
        <v>0</v>
      </c>
      <c r="G16">
        <f t="shared" si="0"/>
        <v>0</v>
      </c>
      <c r="H16" s="18">
        <f t="shared" si="1"/>
        <v>0</v>
      </c>
      <c r="I16">
        <f t="shared" si="2"/>
        <v>0</v>
      </c>
      <c r="J16">
        <f t="shared" si="3"/>
        <v>0</v>
      </c>
    </row>
    <row r="17" spans="3:10" ht="12.75">
      <c r="C17">
        <v>14</v>
      </c>
      <c r="D17">
        <f>СНЕДЕКОР!D17</f>
        <v>0</v>
      </c>
      <c r="E17">
        <f>СНЕДЕКОР!E17</f>
        <v>0</v>
      </c>
      <c r="F17">
        <f>СНЕДЕКОР!F17</f>
        <v>0</v>
      </c>
      <c r="G17">
        <f t="shared" si="0"/>
        <v>0</v>
      </c>
      <c r="H17" s="18">
        <f t="shared" si="1"/>
        <v>0</v>
      </c>
      <c r="I17">
        <f t="shared" si="2"/>
        <v>0</v>
      </c>
      <c r="J17">
        <f t="shared" si="3"/>
        <v>0</v>
      </c>
    </row>
    <row r="18" spans="3:10" ht="12.75">
      <c r="C18">
        <v>15</v>
      </c>
      <c r="D18">
        <f>СНЕДЕКОР!D18</f>
        <v>0</v>
      </c>
      <c r="E18">
        <f>СНЕДЕКОР!E18</f>
        <v>0</v>
      </c>
      <c r="F18">
        <f>СНЕДЕКОР!F18</f>
        <v>0</v>
      </c>
      <c r="G18">
        <f t="shared" si="0"/>
        <v>0</v>
      </c>
      <c r="H18" s="18">
        <f t="shared" si="1"/>
        <v>0</v>
      </c>
      <c r="I18">
        <f t="shared" si="2"/>
        <v>0</v>
      </c>
      <c r="J18">
        <f t="shared" si="3"/>
        <v>0</v>
      </c>
    </row>
    <row r="19" spans="3:10" ht="12.75">
      <c r="C19">
        <v>16</v>
      </c>
      <c r="D19">
        <f>СНЕДЕКОР!D19</f>
        <v>0</v>
      </c>
      <c r="E19">
        <f>СНЕДЕКОР!E19</f>
        <v>0</v>
      </c>
      <c r="F19">
        <f>СНЕДЕКОР!F19</f>
        <v>0</v>
      </c>
      <c r="G19">
        <f t="shared" si="0"/>
        <v>0</v>
      </c>
      <c r="H19" s="18">
        <f t="shared" si="1"/>
        <v>0</v>
      </c>
      <c r="I19">
        <f t="shared" si="2"/>
        <v>0</v>
      </c>
      <c r="J19">
        <f t="shared" si="3"/>
        <v>0</v>
      </c>
    </row>
    <row r="20" spans="3:13" ht="12.75">
      <c r="C20">
        <v>17</v>
      </c>
      <c r="D20">
        <f>СНЕДЕКОР!D20</f>
        <v>0</v>
      </c>
      <c r="E20">
        <f>СНЕДЕКОР!E20</f>
        <v>0</v>
      </c>
      <c r="F20">
        <f>СНЕДЕКОР!F20</f>
        <v>0</v>
      </c>
      <c r="G20">
        <f t="shared" si="0"/>
        <v>0</v>
      </c>
      <c r="H20" s="18">
        <f t="shared" si="1"/>
        <v>0</v>
      </c>
      <c r="I20">
        <f t="shared" si="2"/>
        <v>0</v>
      </c>
      <c r="J20">
        <f t="shared" si="3"/>
        <v>0</v>
      </c>
      <c r="M20" t="s">
        <v>7</v>
      </c>
    </row>
    <row r="21" spans="3:10" ht="12.75">
      <c r="C21">
        <v>18</v>
      </c>
      <c r="D21">
        <f>СНЕДЕКОР!D21</f>
        <v>0</v>
      </c>
      <c r="E21">
        <f>СНЕДЕКОР!E21</f>
        <v>0</v>
      </c>
      <c r="F21">
        <f>СНЕДЕКОР!F21</f>
        <v>0</v>
      </c>
      <c r="G21">
        <f t="shared" si="0"/>
        <v>0</v>
      </c>
      <c r="H21" s="18">
        <f t="shared" si="1"/>
        <v>0</v>
      </c>
      <c r="I21">
        <f t="shared" si="2"/>
        <v>0</v>
      </c>
      <c r="J21">
        <f t="shared" si="3"/>
        <v>0</v>
      </c>
    </row>
    <row r="22" spans="3:10" ht="12.75">
      <c r="C22">
        <v>19</v>
      </c>
      <c r="D22">
        <f>СНЕДЕКОР!D22</f>
        <v>0</v>
      </c>
      <c r="E22">
        <f>СНЕДЕКОР!E22</f>
        <v>0</v>
      </c>
      <c r="F22">
        <f>СНЕДЕКОР!F22</f>
        <v>0</v>
      </c>
      <c r="G22">
        <f t="shared" si="0"/>
        <v>0</v>
      </c>
      <c r="H22" s="18">
        <f t="shared" si="1"/>
        <v>0</v>
      </c>
      <c r="I22">
        <f t="shared" si="2"/>
        <v>0</v>
      </c>
      <c r="J22">
        <f t="shared" si="3"/>
        <v>0</v>
      </c>
    </row>
    <row r="23" spans="3:10" ht="12.75">
      <c r="C23">
        <v>20</v>
      </c>
      <c r="D23">
        <f>СНЕДЕКОР!D23</f>
        <v>0</v>
      </c>
      <c r="E23">
        <f>СНЕДЕКОР!E23</f>
        <v>0</v>
      </c>
      <c r="F23">
        <f>СНЕДЕКОР!F23</f>
        <v>0</v>
      </c>
      <c r="G23">
        <f t="shared" si="0"/>
        <v>0</v>
      </c>
      <c r="H23" s="18">
        <f t="shared" si="1"/>
        <v>0</v>
      </c>
      <c r="I23">
        <f t="shared" si="2"/>
        <v>0</v>
      </c>
      <c r="J23">
        <f t="shared" si="3"/>
        <v>0</v>
      </c>
    </row>
  </sheetData>
  <sheetProtection password="C766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B2:K31"/>
  <sheetViews>
    <sheetView zoomScalePageLayoutView="0" workbookViewId="0" topLeftCell="A1">
      <selection activeCell="E8" sqref="E8"/>
    </sheetView>
  </sheetViews>
  <sheetFormatPr defaultColWidth="9.00390625" defaultRowHeight="12.75"/>
  <sheetData>
    <row r="2" ht="12.75">
      <c r="B2" s="1" t="s">
        <v>98</v>
      </c>
    </row>
    <row r="4" spans="2:10" ht="12.75">
      <c r="B4" s="89" t="s">
        <v>99</v>
      </c>
      <c r="C4" s="64"/>
      <c r="D4" s="64"/>
      <c r="E4" s="3"/>
      <c r="G4" s="89" t="s">
        <v>104</v>
      </c>
      <c r="H4" s="90"/>
      <c r="I4" s="64"/>
      <c r="J4" s="3"/>
    </row>
    <row r="5" spans="2:10" ht="12.75">
      <c r="B5" s="5"/>
      <c r="C5" s="41"/>
      <c r="D5" s="41"/>
      <c r="E5" s="4"/>
      <c r="G5" s="5"/>
      <c r="H5" s="41"/>
      <c r="I5" s="41"/>
      <c r="J5" s="4"/>
    </row>
    <row r="6" spans="2:10" ht="12.75">
      <c r="B6" s="86" t="s">
        <v>100</v>
      </c>
      <c r="C6" s="87" t="s">
        <v>0</v>
      </c>
      <c r="D6" s="87" t="s">
        <v>1</v>
      </c>
      <c r="E6" s="88" t="s">
        <v>2</v>
      </c>
      <c r="G6" s="5" t="s">
        <v>92</v>
      </c>
      <c r="H6" s="41" t="s">
        <v>103</v>
      </c>
      <c r="I6" s="41" t="s">
        <v>4</v>
      </c>
      <c r="J6" s="4" t="s">
        <v>106</v>
      </c>
    </row>
    <row r="7" spans="2:10" ht="12.75">
      <c r="B7" s="86">
        <v>1</v>
      </c>
      <c r="C7" s="25">
        <v>158</v>
      </c>
      <c r="D7" s="25">
        <v>10.8</v>
      </c>
      <c r="E7" s="25">
        <v>0.13</v>
      </c>
      <c r="G7" s="5"/>
      <c r="H7" s="41">
        <f>C7*E7^2</f>
        <v>2.6702000000000004</v>
      </c>
      <c r="I7" s="41">
        <f>IF(C7&gt;0,(C7-1)*H7,0)</f>
        <v>419.2214000000001</v>
      </c>
      <c r="J7" s="4">
        <f>IF(I10&gt;0,G8^2/I10,0)</f>
        <v>0.04557165690949268</v>
      </c>
    </row>
    <row r="8" spans="2:10" ht="12.75">
      <c r="B8" s="86">
        <v>2</v>
      </c>
      <c r="C8" s="25">
        <v>236</v>
      </c>
      <c r="D8" s="25">
        <v>10.5</v>
      </c>
      <c r="E8" s="25">
        <v>0.08</v>
      </c>
      <c r="G8" s="5">
        <f>IF(D7&gt;0,ABS(D7-D8),0)</f>
        <v>0.3000000000000007</v>
      </c>
      <c r="H8" s="41">
        <f>C8*E8^2</f>
        <v>1.5104</v>
      </c>
      <c r="I8" s="41">
        <f>IF(C8&gt;0,(C8-1)*H8,0)</f>
        <v>354.944</v>
      </c>
      <c r="J8" s="4">
        <f>IF((C7+C8)&gt;0,(C7*C8)/(C7+C8),0)</f>
        <v>94.63959390862944</v>
      </c>
    </row>
    <row r="9" spans="2:10" ht="12.75">
      <c r="B9" s="5"/>
      <c r="C9" s="41"/>
      <c r="D9" s="41"/>
      <c r="E9" s="4"/>
      <c r="G9" s="5"/>
      <c r="H9" s="41" t="s">
        <v>108</v>
      </c>
      <c r="I9" s="41">
        <f>SUM(I7:I8)</f>
        <v>774.1654000000001</v>
      </c>
      <c r="J9" s="4"/>
    </row>
    <row r="10" spans="2:10" ht="13.5" thickBot="1">
      <c r="B10" s="5" t="s">
        <v>101</v>
      </c>
      <c r="C10" s="41"/>
      <c r="D10" s="41"/>
      <c r="E10" s="4"/>
      <c r="G10" s="5"/>
      <c r="H10" s="41" t="s">
        <v>105</v>
      </c>
      <c r="I10" s="41">
        <f>IF((C7+C8)&gt;2,I9/(C7+C8-2),0)</f>
        <v>1.9749117346938778</v>
      </c>
      <c r="J10" s="4"/>
    </row>
    <row r="11" spans="2:10" ht="12.75">
      <c r="B11" s="5" t="s">
        <v>71</v>
      </c>
      <c r="C11" s="41"/>
      <c r="D11" s="41"/>
      <c r="E11" s="4"/>
      <c r="G11" s="5"/>
      <c r="H11" s="80" t="s">
        <v>107</v>
      </c>
      <c r="I11" s="81">
        <f>J7*J8</f>
        <v>4.312883103657774</v>
      </c>
      <c r="J11" s="4"/>
    </row>
    <row r="12" spans="2:10" ht="12.75">
      <c r="B12" s="5" t="s">
        <v>102</v>
      </c>
      <c r="C12" s="41"/>
      <c r="D12" s="41"/>
      <c r="E12" s="4"/>
      <c r="G12" s="5"/>
      <c r="H12" s="82" t="s">
        <v>109</v>
      </c>
      <c r="I12" s="83">
        <v>1</v>
      </c>
      <c r="J12" s="4"/>
    </row>
    <row r="13" spans="2:10" ht="13.5" thickBot="1">
      <c r="B13" s="5" t="s">
        <v>111</v>
      </c>
      <c r="C13" s="41"/>
      <c r="D13" s="41"/>
      <c r="E13" s="4"/>
      <c r="G13" s="5"/>
      <c r="H13" s="84" t="s">
        <v>110</v>
      </c>
      <c r="I13" s="85">
        <f>IF((C7+C8)&gt;2,(C7+C8-2),0)</f>
        <v>392</v>
      </c>
      <c r="J13" s="4"/>
    </row>
    <row r="14" spans="2:10" ht="12.75">
      <c r="B14" s="5" t="s">
        <v>112</v>
      </c>
      <c r="C14" s="41"/>
      <c r="D14" s="41"/>
      <c r="E14" s="4"/>
      <c r="G14" s="5"/>
      <c r="H14" s="41"/>
      <c r="I14" s="41"/>
      <c r="J14" s="4"/>
    </row>
    <row r="15" spans="2:10" ht="12.75">
      <c r="B15" s="5" t="s">
        <v>113</v>
      </c>
      <c r="C15" s="41"/>
      <c r="D15" s="41"/>
      <c r="E15" s="4"/>
      <c r="G15" s="5"/>
      <c r="H15" s="41"/>
      <c r="I15" s="41"/>
      <c r="J15" s="4"/>
    </row>
    <row r="16" spans="2:10" ht="12.75">
      <c r="B16" s="6" t="s">
        <v>114</v>
      </c>
      <c r="C16" s="65"/>
      <c r="D16" s="65"/>
      <c r="E16" s="7"/>
      <c r="G16" s="6"/>
      <c r="H16" s="65"/>
      <c r="I16" s="65"/>
      <c r="J16" s="7"/>
    </row>
    <row r="31" ht="12.75">
      <c r="K31" s="91"/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0"/>
  </sheetPr>
  <dimension ref="B2:H19"/>
  <sheetViews>
    <sheetView zoomScalePageLayoutView="0" workbookViewId="0" topLeftCell="A1">
      <selection activeCell="C8" sqref="C8"/>
    </sheetView>
  </sheetViews>
  <sheetFormatPr defaultColWidth="9.00390625" defaultRowHeight="12.75"/>
  <sheetData>
    <row r="2" ht="12.75">
      <c r="B2" s="1" t="s">
        <v>115</v>
      </c>
    </row>
    <row r="4" spans="2:8" ht="12.75">
      <c r="B4" s="89" t="s">
        <v>99</v>
      </c>
      <c r="C4" s="64"/>
      <c r="D4" s="3"/>
      <c r="F4" s="92" t="s">
        <v>117</v>
      </c>
      <c r="G4" s="64"/>
      <c r="H4" s="3"/>
    </row>
    <row r="5" spans="2:8" ht="12.75">
      <c r="B5" s="5"/>
      <c r="C5" s="41"/>
      <c r="D5" s="4"/>
      <c r="F5" s="5"/>
      <c r="G5" s="41"/>
      <c r="H5" s="4"/>
    </row>
    <row r="6" spans="2:8" ht="12.75">
      <c r="B6" s="5" t="s">
        <v>118</v>
      </c>
      <c r="C6" s="25">
        <v>0.7</v>
      </c>
      <c r="D6" s="4"/>
      <c r="F6" s="5">
        <f>C6-C7*C8</f>
        <v>0.6859999999999999</v>
      </c>
      <c r="G6" s="41">
        <f>SQRT((1-C7^2)*(1-C8^2))</f>
        <v>0.9851883068733611</v>
      </c>
      <c r="H6" s="4"/>
    </row>
    <row r="7" spans="2:8" ht="12.75">
      <c r="B7" s="5" t="s">
        <v>119</v>
      </c>
      <c r="C7" s="25">
        <v>0.1</v>
      </c>
      <c r="D7" s="4"/>
      <c r="F7" s="5">
        <f>C7-C6*C8</f>
        <v>0.0020000000000000018</v>
      </c>
      <c r="G7" s="41">
        <f>SQRT((1-C6^2)*(1-C8^2))</f>
        <v>0.7071096096080154</v>
      </c>
      <c r="H7" s="4"/>
    </row>
    <row r="8" spans="2:8" ht="12.75">
      <c r="B8" s="5" t="s">
        <v>120</v>
      </c>
      <c r="C8" s="25">
        <v>0.14</v>
      </c>
      <c r="D8" s="4"/>
      <c r="F8" s="5">
        <f>C8-C6*C7</f>
        <v>0.07000000000000002</v>
      </c>
      <c r="G8" s="41">
        <f>SQRT((1-C6^2)*(1-C7^2))</f>
        <v>0.7105631569396207</v>
      </c>
      <c r="H8" s="4"/>
    </row>
    <row r="9" spans="2:8" ht="12.75">
      <c r="B9" s="5"/>
      <c r="C9" s="41"/>
      <c r="D9" s="4"/>
      <c r="F9" s="5"/>
      <c r="G9" s="41"/>
      <c r="H9" s="4"/>
    </row>
    <row r="10" spans="2:8" ht="12.75">
      <c r="B10" s="5" t="s">
        <v>121</v>
      </c>
      <c r="C10" s="41"/>
      <c r="D10" s="4"/>
      <c r="F10" s="5"/>
      <c r="G10" s="41"/>
      <c r="H10" s="4"/>
    </row>
    <row r="11" spans="2:8" ht="12.75">
      <c r="B11" s="5" t="s">
        <v>116</v>
      </c>
      <c r="C11" s="41"/>
      <c r="D11" s="4"/>
      <c r="F11" s="5"/>
      <c r="G11" s="41"/>
      <c r="H11" s="4"/>
    </row>
    <row r="12" spans="2:8" ht="12.75">
      <c r="B12" s="6" t="s">
        <v>122</v>
      </c>
      <c r="C12" s="65"/>
      <c r="D12" s="7"/>
      <c r="F12" s="6"/>
      <c r="G12" s="65"/>
      <c r="H12" s="7"/>
    </row>
    <row r="14" spans="2:8" ht="12.75">
      <c r="B14" s="89" t="s">
        <v>22</v>
      </c>
      <c r="C14" s="64"/>
      <c r="D14" s="64"/>
      <c r="E14" s="64"/>
      <c r="F14" s="64"/>
      <c r="G14" s="64"/>
      <c r="H14" s="3"/>
    </row>
    <row r="15" spans="2:8" ht="12.75">
      <c r="B15" s="5"/>
      <c r="C15" s="41"/>
      <c r="D15" s="41"/>
      <c r="E15" s="41"/>
      <c r="F15" s="41"/>
      <c r="G15" s="41"/>
      <c r="H15" s="4"/>
    </row>
    <row r="16" spans="2:8" ht="12.75">
      <c r="B16" s="5" t="s">
        <v>123</v>
      </c>
      <c r="C16" s="41">
        <f>F6/G6</f>
        <v>0.6963135831129798</v>
      </c>
      <c r="D16" s="41"/>
      <c r="E16" s="41" t="s">
        <v>124</v>
      </c>
      <c r="F16" s="41"/>
      <c r="G16" s="41"/>
      <c r="H16" s="4"/>
    </row>
    <row r="17" spans="2:8" ht="12.75">
      <c r="B17" s="5" t="s">
        <v>125</v>
      </c>
      <c r="C17" s="41">
        <f>F7/G7</f>
        <v>0.0028284158111055754</v>
      </c>
      <c r="D17" s="41"/>
      <c r="E17" s="41" t="s">
        <v>126</v>
      </c>
      <c r="F17" s="41"/>
      <c r="G17" s="41"/>
      <c r="H17" s="4"/>
    </row>
    <row r="18" spans="2:8" ht="12.75">
      <c r="B18" s="6" t="s">
        <v>127</v>
      </c>
      <c r="C18" s="65">
        <f>F8/G8</f>
        <v>0.0985134105481748</v>
      </c>
      <c r="D18" s="65"/>
      <c r="E18" s="65" t="s">
        <v>128</v>
      </c>
      <c r="F18" s="65"/>
      <c r="G18" s="65"/>
      <c r="H18" s="7"/>
    </row>
    <row r="19" ht="12.75">
      <c r="E19" t="s">
        <v>7</v>
      </c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>
    <tabColor rgb="FF002060"/>
  </sheetPr>
  <dimension ref="A1:L30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1:12" ht="12.75">
      <c r="A1" t="s">
        <v>160</v>
      </c>
      <c r="B1" t="s">
        <v>129</v>
      </c>
      <c r="C1" t="s">
        <v>130</v>
      </c>
      <c r="D1" t="s">
        <v>131</v>
      </c>
      <c r="E1" t="s">
        <v>132</v>
      </c>
      <c r="G1" s="2" t="s">
        <v>136</v>
      </c>
      <c r="H1" s="64"/>
      <c r="I1" s="64"/>
      <c r="J1" s="64"/>
      <c r="K1" s="64"/>
      <c r="L1" s="3"/>
    </row>
    <row r="2" spans="1:12" ht="12.75">
      <c r="A2">
        <v>1</v>
      </c>
      <c r="B2">
        <v>6065</v>
      </c>
      <c r="C2">
        <v>3.99</v>
      </c>
      <c r="D2">
        <v>4935</v>
      </c>
      <c r="E2">
        <v>3.74</v>
      </c>
      <c r="G2" s="5"/>
      <c r="H2" s="41"/>
      <c r="I2" s="41"/>
      <c r="J2" s="41"/>
      <c r="K2" s="41"/>
      <c r="L2" s="4"/>
    </row>
    <row r="3" spans="1:12" ht="12.75">
      <c r="A3">
        <v>2</v>
      </c>
      <c r="B3">
        <v>5915</v>
      </c>
      <c r="C3">
        <v>4</v>
      </c>
      <c r="D3">
        <v>3804</v>
      </c>
      <c r="E3">
        <v>3.84</v>
      </c>
      <c r="G3" s="5" t="s">
        <v>134</v>
      </c>
      <c r="H3" s="41"/>
      <c r="I3" s="41"/>
      <c r="J3" s="41"/>
      <c r="K3" s="41"/>
      <c r="L3" s="4"/>
    </row>
    <row r="4" spans="1:12" ht="12.75">
      <c r="A4">
        <v>3</v>
      </c>
      <c r="B4">
        <v>4138</v>
      </c>
      <c r="C4">
        <v>4.02</v>
      </c>
      <c r="D4">
        <v>5585</v>
      </c>
      <c r="E4">
        <v>4</v>
      </c>
      <c r="G4" s="5" t="s">
        <v>135</v>
      </c>
      <c r="H4" s="41"/>
      <c r="I4" s="41"/>
      <c r="J4" s="41"/>
      <c r="K4" s="41"/>
      <c r="L4" s="4"/>
    </row>
    <row r="5" spans="1:12" ht="12.75">
      <c r="A5">
        <v>4</v>
      </c>
      <c r="B5">
        <v>5288</v>
      </c>
      <c r="C5">
        <v>3.88</v>
      </c>
      <c r="D5">
        <v>6317</v>
      </c>
      <c r="E5">
        <v>3.92</v>
      </c>
      <c r="G5" s="5" t="s">
        <v>192</v>
      </c>
      <c r="H5" s="41"/>
      <c r="I5" s="41"/>
      <c r="J5" s="41"/>
      <c r="K5" s="41"/>
      <c r="L5" s="4"/>
    </row>
    <row r="6" spans="1:12" ht="12.75">
      <c r="A6">
        <v>5</v>
      </c>
      <c r="B6">
        <v>5422</v>
      </c>
      <c r="C6">
        <v>3.77</v>
      </c>
      <c r="D6">
        <v>6222</v>
      </c>
      <c r="E6">
        <v>3.99</v>
      </c>
      <c r="G6" s="5" t="s">
        <v>133</v>
      </c>
      <c r="H6" s="41"/>
      <c r="I6" s="41"/>
      <c r="J6" s="41"/>
      <c r="K6" s="41"/>
      <c r="L6" s="4"/>
    </row>
    <row r="7" spans="1:12" ht="12.75">
      <c r="A7">
        <v>6</v>
      </c>
      <c r="B7">
        <v>3551</v>
      </c>
      <c r="C7">
        <v>3.75</v>
      </c>
      <c r="D7">
        <v>3804</v>
      </c>
      <c r="E7">
        <v>3.85</v>
      </c>
      <c r="G7" s="5" t="s">
        <v>168</v>
      </c>
      <c r="H7" s="41"/>
      <c r="I7" s="41"/>
      <c r="J7" s="41"/>
      <c r="K7" s="41"/>
      <c r="L7" s="4"/>
    </row>
    <row r="8" spans="1:12" ht="12.75">
      <c r="A8">
        <v>7</v>
      </c>
      <c r="B8">
        <v>7190</v>
      </c>
      <c r="C8">
        <v>3.93</v>
      </c>
      <c r="D8">
        <v>7242</v>
      </c>
      <c r="E8">
        <v>3.94</v>
      </c>
      <c r="G8" s="5" t="s">
        <v>169</v>
      </c>
      <c r="H8" s="41"/>
      <c r="I8" s="41"/>
      <c r="J8" s="41"/>
      <c r="K8" s="41"/>
      <c r="L8" s="4"/>
    </row>
    <row r="9" spans="1:12" ht="13.5" thickBot="1">
      <c r="A9">
        <v>8</v>
      </c>
      <c r="B9">
        <v>4062</v>
      </c>
      <c r="C9">
        <v>3.83</v>
      </c>
      <c r="D9">
        <v>5233</v>
      </c>
      <c r="E9">
        <v>3.74</v>
      </c>
      <c r="G9" s="5" t="s">
        <v>138</v>
      </c>
      <c r="H9" s="41"/>
      <c r="I9" s="41"/>
      <c r="J9" s="41"/>
      <c r="K9" s="41"/>
      <c r="L9" s="4"/>
    </row>
    <row r="10" spans="1:12" ht="13.5" thickBot="1">
      <c r="A10">
        <v>9</v>
      </c>
      <c r="B10">
        <v>7415</v>
      </c>
      <c r="C10">
        <v>3.8</v>
      </c>
      <c r="D10">
        <v>5187</v>
      </c>
      <c r="E10">
        <v>3.74</v>
      </c>
      <c r="F10" s="107"/>
      <c r="G10" s="5" t="s">
        <v>137</v>
      </c>
      <c r="H10" s="41"/>
      <c r="I10" s="41"/>
      <c r="J10" s="41"/>
      <c r="K10" s="41"/>
      <c r="L10" s="4"/>
    </row>
    <row r="11" spans="1:12" ht="13.5" thickBot="1">
      <c r="A11">
        <v>10</v>
      </c>
      <c r="B11">
        <v>5623</v>
      </c>
      <c r="C11">
        <v>3.87</v>
      </c>
      <c r="D11">
        <v>3283</v>
      </c>
      <c r="E11">
        <v>3.86</v>
      </c>
      <c r="G11" s="5"/>
      <c r="H11" s="41"/>
      <c r="I11" s="41"/>
      <c r="J11" s="41"/>
      <c r="K11" s="41"/>
      <c r="L11" s="4"/>
    </row>
    <row r="12" spans="1:12" ht="13.5" thickBot="1">
      <c r="A12">
        <v>11</v>
      </c>
      <c r="B12">
        <v>5438</v>
      </c>
      <c r="C12">
        <v>3.82</v>
      </c>
      <c r="D12">
        <v>6162</v>
      </c>
      <c r="E12">
        <v>3.74</v>
      </c>
      <c r="F12" s="107"/>
      <c r="G12" s="5" t="s">
        <v>159</v>
      </c>
      <c r="H12" s="41"/>
      <c r="I12" s="41"/>
      <c r="J12" s="41"/>
      <c r="K12" s="41"/>
      <c r="L12" s="4"/>
    </row>
    <row r="13" spans="1:12" ht="13.5" thickBot="1">
      <c r="A13">
        <v>12</v>
      </c>
      <c r="B13">
        <v>5400</v>
      </c>
      <c r="C13">
        <v>4</v>
      </c>
      <c r="D13">
        <v>5583</v>
      </c>
      <c r="E13">
        <v>3.82</v>
      </c>
      <c r="G13" s="5"/>
      <c r="H13" s="41"/>
      <c r="I13" s="41"/>
      <c r="J13" s="41"/>
      <c r="K13" s="41"/>
      <c r="L13" s="4"/>
    </row>
    <row r="14" spans="1:12" ht="13.5" thickBot="1">
      <c r="A14">
        <v>13</v>
      </c>
      <c r="B14">
        <v>5838</v>
      </c>
      <c r="C14">
        <v>4.18</v>
      </c>
      <c r="D14">
        <v>5470</v>
      </c>
      <c r="E14">
        <v>3.61</v>
      </c>
      <c r="F14" s="93" t="s">
        <v>7</v>
      </c>
      <c r="G14" s="41" t="s">
        <v>161</v>
      </c>
      <c r="H14" s="41"/>
      <c r="I14" s="41"/>
      <c r="J14" s="41"/>
      <c r="K14" s="41"/>
      <c r="L14" s="4"/>
    </row>
    <row r="15" spans="1:12" ht="12.75">
      <c r="A15">
        <v>14</v>
      </c>
      <c r="B15">
        <v>3888</v>
      </c>
      <c r="C15">
        <v>4.1</v>
      </c>
      <c r="D15">
        <v>5779</v>
      </c>
      <c r="E15">
        <v>3.75</v>
      </c>
      <c r="G15" s="5" t="s">
        <v>164</v>
      </c>
      <c r="H15" s="41"/>
      <c r="I15" s="41"/>
      <c r="J15" s="41"/>
      <c r="K15" s="41"/>
      <c r="L15" s="4"/>
    </row>
    <row r="16" spans="1:12" ht="12.75">
      <c r="A16">
        <v>15</v>
      </c>
      <c r="B16">
        <v>4697</v>
      </c>
      <c r="C16">
        <v>4.34</v>
      </c>
      <c r="D16">
        <v>5549</v>
      </c>
      <c r="E16">
        <v>4.15</v>
      </c>
      <c r="G16" s="5" t="s">
        <v>162</v>
      </c>
      <c r="H16" s="41"/>
      <c r="I16" s="41"/>
      <c r="J16" s="41"/>
      <c r="K16" s="41"/>
      <c r="L16" s="4"/>
    </row>
    <row r="17" spans="1:12" ht="12.75">
      <c r="A17">
        <v>16</v>
      </c>
      <c r="B17">
        <v>6559</v>
      </c>
      <c r="C17">
        <v>3.7</v>
      </c>
      <c r="D17">
        <v>6162</v>
      </c>
      <c r="E17">
        <v>3.74</v>
      </c>
      <c r="G17" s="5" t="s">
        <v>163</v>
      </c>
      <c r="H17" s="41"/>
      <c r="I17" s="41"/>
      <c r="J17" s="41"/>
      <c r="K17" s="41"/>
      <c r="L17" s="4"/>
    </row>
    <row r="18" spans="1:12" ht="12.75">
      <c r="A18">
        <v>17</v>
      </c>
      <c r="B18">
        <v>3705</v>
      </c>
      <c r="C18">
        <v>3.98</v>
      </c>
      <c r="D18">
        <v>7172</v>
      </c>
      <c r="E18">
        <v>3.72</v>
      </c>
      <c r="G18" s="5" t="s">
        <v>165</v>
      </c>
      <c r="H18" s="41"/>
      <c r="I18" s="41"/>
      <c r="J18" s="41"/>
      <c r="K18" s="41"/>
      <c r="L18" s="4"/>
    </row>
    <row r="19" spans="1:12" ht="12.75">
      <c r="A19">
        <v>18</v>
      </c>
      <c r="B19">
        <v>4819</v>
      </c>
      <c r="C19">
        <v>4.26</v>
      </c>
      <c r="D19">
        <v>5970</v>
      </c>
      <c r="E19">
        <v>3.95</v>
      </c>
      <c r="G19" s="5" t="s">
        <v>166</v>
      </c>
      <c r="H19" s="41"/>
      <c r="I19" s="41"/>
      <c r="J19" s="41"/>
      <c r="K19" s="41"/>
      <c r="L19" s="4"/>
    </row>
    <row r="20" spans="1:12" ht="12.75">
      <c r="A20">
        <v>19</v>
      </c>
      <c r="B20">
        <v>4892</v>
      </c>
      <c r="C20">
        <v>4.18</v>
      </c>
      <c r="D20">
        <v>4330</v>
      </c>
      <c r="E20">
        <v>4.21</v>
      </c>
      <c r="G20" s="5" t="s">
        <v>167</v>
      </c>
      <c r="H20" s="41"/>
      <c r="I20" s="41"/>
      <c r="J20" s="41"/>
      <c r="K20" s="41"/>
      <c r="L20" s="4"/>
    </row>
    <row r="21" spans="1:12" ht="12.75">
      <c r="A21">
        <v>20</v>
      </c>
      <c r="B21">
        <v>6065</v>
      </c>
      <c r="C21">
        <v>3.79</v>
      </c>
      <c r="D21">
        <v>4918</v>
      </c>
      <c r="E21">
        <v>3.6</v>
      </c>
      <c r="G21" s="6"/>
      <c r="H21" s="65"/>
      <c r="I21" s="65"/>
      <c r="J21" s="65"/>
      <c r="K21" s="65"/>
      <c r="L21" s="7"/>
    </row>
    <row r="23" spans="2:12" ht="12.75">
      <c r="B23" s="108" t="s">
        <v>139</v>
      </c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24" spans="2:12" ht="12.75">
      <c r="B24" s="109" t="s">
        <v>189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6" spans="2:12" ht="12.75">
      <c r="B26" s="111" t="s">
        <v>170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2:12" ht="12.75">
      <c r="B27" s="111" t="s">
        <v>171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ht="13.5" thickBot="1"/>
    <row r="29" spans="2:12" ht="12.75">
      <c r="B29" s="115" t="s">
        <v>190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2:12" ht="13.5" thickBot="1">
      <c r="B30" s="112" t="s">
        <v>191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</sheetData>
  <sheetProtection password="C766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22.25390625" style="0" customWidth="1"/>
  </cols>
  <sheetData>
    <row r="1" spans="1:8" ht="13.5" thickBot="1">
      <c r="A1" s="96" t="s">
        <v>129</v>
      </c>
      <c r="B1" s="96"/>
      <c r="C1" s="96" t="s">
        <v>130</v>
      </c>
      <c r="D1" s="96"/>
      <c r="E1" s="96" t="s">
        <v>131</v>
      </c>
      <c r="F1" s="96"/>
      <c r="G1" s="96" t="s">
        <v>132</v>
      </c>
      <c r="H1" s="96"/>
    </row>
    <row r="2" spans="1:8" ht="12.75">
      <c r="A2" s="94"/>
      <c r="B2" s="96" t="s">
        <v>129</v>
      </c>
      <c r="C2" s="96"/>
      <c r="D2" s="96" t="s">
        <v>130</v>
      </c>
      <c r="E2" s="96"/>
      <c r="F2" s="96" t="s">
        <v>131</v>
      </c>
      <c r="G2" s="96"/>
      <c r="H2" s="96" t="s">
        <v>132</v>
      </c>
    </row>
    <row r="3" spans="1:8" ht="12.75">
      <c r="A3" s="94" t="s">
        <v>140</v>
      </c>
      <c r="B3" s="94">
        <v>5298.5</v>
      </c>
      <c r="C3" s="94" t="s">
        <v>140</v>
      </c>
      <c r="D3" s="94">
        <v>3.9595000000000007</v>
      </c>
      <c r="E3" s="94" t="s">
        <v>140</v>
      </c>
      <c r="F3" s="94">
        <v>5435.35</v>
      </c>
      <c r="G3" s="94" t="s">
        <v>140</v>
      </c>
      <c r="H3" s="94">
        <v>3.8455</v>
      </c>
    </row>
    <row r="4" spans="1:8" ht="12.75">
      <c r="A4" s="94" t="s">
        <v>141</v>
      </c>
      <c r="B4" s="94">
        <v>245.26018944442612</v>
      </c>
      <c r="C4" s="94" t="s">
        <v>141</v>
      </c>
      <c r="D4" s="94">
        <v>0.04016724903122765</v>
      </c>
      <c r="E4" s="94" t="s">
        <v>141</v>
      </c>
      <c r="F4" s="94">
        <v>235.03639443823627</v>
      </c>
      <c r="G4" s="94" t="s">
        <v>141</v>
      </c>
      <c r="H4" s="94">
        <v>0.036015164934557684</v>
      </c>
    </row>
    <row r="5" spans="1:8" ht="12.75">
      <c r="A5" s="97" t="s">
        <v>142</v>
      </c>
      <c r="B5" s="97">
        <v>5411</v>
      </c>
      <c r="C5" s="97" t="s">
        <v>142</v>
      </c>
      <c r="D5" s="97">
        <v>3.955</v>
      </c>
      <c r="E5" s="97" t="s">
        <v>142</v>
      </c>
      <c r="F5" s="97">
        <v>5566</v>
      </c>
      <c r="G5" s="97" t="s">
        <v>142</v>
      </c>
      <c r="H5" s="97">
        <v>3.83</v>
      </c>
    </row>
    <row r="6" spans="1:8" ht="12.75">
      <c r="A6" s="97" t="s">
        <v>143</v>
      </c>
      <c r="B6" s="97">
        <v>6065</v>
      </c>
      <c r="C6" s="97" t="s">
        <v>143</v>
      </c>
      <c r="D6" s="97">
        <v>4</v>
      </c>
      <c r="E6" s="97" t="s">
        <v>143</v>
      </c>
      <c r="F6" s="97">
        <v>3804</v>
      </c>
      <c r="G6" s="97" t="s">
        <v>143</v>
      </c>
      <c r="H6" s="97">
        <v>3.74</v>
      </c>
    </row>
    <row r="7" spans="1:8" ht="12.75">
      <c r="A7" s="94" t="s">
        <v>144</v>
      </c>
      <c r="B7" s="94">
        <v>1096.8369115444264</v>
      </c>
      <c r="C7" s="94" t="s">
        <v>144</v>
      </c>
      <c r="D7" s="94">
        <v>0.1796333986059752</v>
      </c>
      <c r="E7" s="94" t="s">
        <v>144</v>
      </c>
      <c r="F7" s="94">
        <v>1051.1147103006997</v>
      </c>
      <c r="G7" s="94" t="s">
        <v>144</v>
      </c>
      <c r="H7" s="94">
        <v>0.1610647140290755</v>
      </c>
    </row>
    <row r="8" spans="1:8" ht="12.75">
      <c r="A8" s="97" t="s">
        <v>145</v>
      </c>
      <c r="B8" s="97">
        <v>1203051.2105263157</v>
      </c>
      <c r="C8" s="97" t="s">
        <v>145</v>
      </c>
      <c r="D8" s="97">
        <v>0.03226815789473317</v>
      </c>
      <c r="E8" s="97" t="s">
        <v>145</v>
      </c>
      <c r="F8" s="97">
        <v>1104842.134210524</v>
      </c>
      <c r="G8" s="97" t="s">
        <v>145</v>
      </c>
      <c r="H8" s="97">
        <v>0.02594184210526787</v>
      </c>
    </row>
    <row r="9" spans="1:8" ht="12.75">
      <c r="A9" s="97" t="s">
        <v>146</v>
      </c>
      <c r="B9" s="97">
        <v>-0.5236931915854033</v>
      </c>
      <c r="C9" s="97" t="s">
        <v>146</v>
      </c>
      <c r="D9" s="97">
        <v>-0.4698437875417816</v>
      </c>
      <c r="E9" s="97" t="s">
        <v>146</v>
      </c>
      <c r="F9" s="97">
        <v>-0.0683266724501288</v>
      </c>
      <c r="G9" s="97" t="s">
        <v>146</v>
      </c>
      <c r="H9" s="97">
        <v>0.2332311641430187</v>
      </c>
    </row>
    <row r="10" spans="1:8" ht="12.75">
      <c r="A10" s="97" t="s">
        <v>147</v>
      </c>
      <c r="B10" s="97">
        <v>0.15713069852727143</v>
      </c>
      <c r="C10" s="97" t="s">
        <v>147</v>
      </c>
      <c r="D10" s="97">
        <v>0.5881474131162105</v>
      </c>
      <c r="E10" s="97" t="s">
        <v>147</v>
      </c>
      <c r="F10" s="97">
        <v>-0.3533186616832893</v>
      </c>
      <c r="G10" s="97" t="s">
        <v>147</v>
      </c>
      <c r="H10" s="97">
        <v>0.6882499708644446</v>
      </c>
    </row>
    <row r="11" spans="1:8" ht="12.75">
      <c r="A11" s="97" t="s">
        <v>148</v>
      </c>
      <c r="B11" s="97">
        <v>3864</v>
      </c>
      <c r="C11" s="97" t="s">
        <v>148</v>
      </c>
      <c r="D11" s="97">
        <v>0.64</v>
      </c>
      <c r="E11" s="97" t="s">
        <v>148</v>
      </c>
      <c r="F11" s="97">
        <v>3959</v>
      </c>
      <c r="G11" s="97" t="s">
        <v>148</v>
      </c>
      <c r="H11" s="97">
        <v>0.61</v>
      </c>
    </row>
    <row r="12" spans="1:8" ht="12.75">
      <c r="A12" s="94" t="s">
        <v>149</v>
      </c>
      <c r="B12" s="94">
        <v>3551</v>
      </c>
      <c r="C12" s="94" t="s">
        <v>149</v>
      </c>
      <c r="D12" s="94">
        <v>3.7</v>
      </c>
      <c r="E12" s="94" t="s">
        <v>149</v>
      </c>
      <c r="F12" s="94">
        <v>3283</v>
      </c>
      <c r="G12" s="94" t="s">
        <v>149</v>
      </c>
      <c r="H12" s="94">
        <v>3.6</v>
      </c>
    </row>
    <row r="13" spans="1:8" ht="12.75">
      <c r="A13" s="94" t="s">
        <v>150</v>
      </c>
      <c r="B13" s="94">
        <v>7415</v>
      </c>
      <c r="C13" s="94" t="s">
        <v>150</v>
      </c>
      <c r="D13" s="94">
        <v>4.34</v>
      </c>
      <c r="E13" s="94" t="s">
        <v>150</v>
      </c>
      <c r="F13" s="94">
        <v>7242</v>
      </c>
      <c r="G13" s="94" t="s">
        <v>150</v>
      </c>
      <c r="H13" s="94">
        <v>4.21</v>
      </c>
    </row>
    <row r="14" spans="1:8" ht="12.75">
      <c r="A14" s="97" t="s">
        <v>18</v>
      </c>
      <c r="B14" s="97">
        <v>105970</v>
      </c>
      <c r="C14" s="97" t="s">
        <v>18</v>
      </c>
      <c r="D14" s="97">
        <v>79.19</v>
      </c>
      <c r="E14" s="97" t="s">
        <v>18</v>
      </c>
      <c r="F14" s="97">
        <v>108707</v>
      </c>
      <c r="G14" s="97" t="s">
        <v>18</v>
      </c>
      <c r="H14" s="97">
        <v>76.91</v>
      </c>
    </row>
    <row r="15" spans="1:8" ht="13.5" thickBot="1">
      <c r="A15" s="95" t="s">
        <v>151</v>
      </c>
      <c r="B15" s="95">
        <v>20</v>
      </c>
      <c r="C15" s="95" t="s">
        <v>151</v>
      </c>
      <c r="D15" s="95">
        <v>20</v>
      </c>
      <c r="E15" s="95" t="s">
        <v>151</v>
      </c>
      <c r="F15" s="95">
        <v>20</v>
      </c>
      <c r="G15" s="95" t="s">
        <v>151</v>
      </c>
      <c r="H15" s="95">
        <v>20</v>
      </c>
    </row>
    <row r="17" spans="1:8" ht="12.75">
      <c r="A17" s="98" t="s">
        <v>152</v>
      </c>
      <c r="B17" s="99"/>
      <c r="C17" s="99"/>
      <c r="D17" s="99"/>
      <c r="E17" s="99"/>
      <c r="F17" s="99"/>
      <c r="G17" s="99"/>
      <c r="H17" s="100"/>
    </row>
    <row r="18" spans="1:8" ht="12.75">
      <c r="A18" s="101" t="s">
        <v>153</v>
      </c>
      <c r="B18" s="102"/>
      <c r="C18" s="102"/>
      <c r="D18" s="102"/>
      <c r="E18" s="102"/>
      <c r="F18" s="102"/>
      <c r="G18" s="102"/>
      <c r="H18" s="103"/>
    </row>
    <row r="19" spans="1:8" ht="12.75">
      <c r="A19" s="101" t="s">
        <v>154</v>
      </c>
      <c r="B19" s="102"/>
      <c r="C19" s="102"/>
      <c r="D19" s="102"/>
      <c r="E19" s="102"/>
      <c r="F19" s="102"/>
      <c r="G19" s="102"/>
      <c r="H19" s="103"/>
    </row>
    <row r="20" spans="1:8" ht="12.75">
      <c r="A20" s="101" t="s">
        <v>155</v>
      </c>
      <c r="B20" s="102"/>
      <c r="C20" s="102"/>
      <c r="D20" s="102"/>
      <c r="E20" s="102"/>
      <c r="F20" s="102"/>
      <c r="G20" s="102"/>
      <c r="H20" s="103"/>
    </row>
    <row r="21" spans="1:8" ht="12.75">
      <c r="A21" s="101" t="s">
        <v>156</v>
      </c>
      <c r="B21" s="102"/>
      <c r="C21" s="102"/>
      <c r="D21" s="102"/>
      <c r="E21" s="102"/>
      <c r="F21" s="102"/>
      <c r="G21" s="102"/>
      <c r="H21" s="103"/>
    </row>
    <row r="22" spans="1:8" ht="12.75">
      <c r="A22" s="101" t="s">
        <v>157</v>
      </c>
      <c r="B22" s="102"/>
      <c r="C22" s="102"/>
      <c r="D22" s="102"/>
      <c r="E22" s="102"/>
      <c r="F22" s="102"/>
      <c r="G22" s="102"/>
      <c r="H22" s="103"/>
    </row>
    <row r="23" spans="1:8" ht="12.75">
      <c r="A23" s="104" t="s">
        <v>158</v>
      </c>
      <c r="B23" s="105"/>
      <c r="C23" s="105"/>
      <c r="D23" s="105"/>
      <c r="E23" s="105"/>
      <c r="F23" s="105"/>
      <c r="G23" s="105"/>
      <c r="H23" s="106"/>
    </row>
    <row r="24" ht="12.75">
      <c r="A24" s="1"/>
    </row>
    <row r="25" spans="1:5" ht="12.75">
      <c r="A25" s="1" t="s">
        <v>174</v>
      </c>
      <c r="B25" s="1"/>
      <c r="C25" s="1"/>
      <c r="D25" s="1"/>
      <c r="E25" s="1"/>
    </row>
    <row r="26" spans="1:5" ht="12.75">
      <c r="A26" s="1" t="s">
        <v>173</v>
      </c>
      <c r="B26" s="1"/>
      <c r="C26" s="1"/>
      <c r="D26" s="1"/>
      <c r="E26" s="1"/>
    </row>
    <row r="27" spans="2:3" ht="12.75">
      <c r="B27" t="s">
        <v>7</v>
      </c>
      <c r="C27" t="s">
        <v>7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>
    <tabColor indexed="8"/>
  </sheetPr>
  <dimension ref="B2:K28"/>
  <sheetViews>
    <sheetView zoomScalePageLayoutView="0" workbookViewId="0" topLeftCell="A1">
      <selection activeCell="E13" sqref="E13"/>
    </sheetView>
  </sheetViews>
  <sheetFormatPr defaultColWidth="9.00390625" defaultRowHeight="12.75"/>
  <sheetData>
    <row r="2" spans="2:7" ht="12.75">
      <c r="B2" s="118"/>
      <c r="C2" s="118"/>
      <c r="D2" s="118"/>
      <c r="E2" s="118"/>
      <c r="F2" s="118"/>
      <c r="G2" s="118"/>
    </row>
    <row r="3" spans="2:7" ht="12.75">
      <c r="B3" s="118"/>
      <c r="C3" s="118"/>
      <c r="D3" s="118"/>
      <c r="E3" s="118"/>
      <c r="F3" s="118"/>
      <c r="G3" s="118"/>
    </row>
    <row r="4" spans="2:7" ht="12.75">
      <c r="B4" s="118"/>
      <c r="C4" s="118"/>
      <c r="D4" s="118"/>
      <c r="E4" s="118"/>
      <c r="F4" s="118"/>
      <c r="G4" s="118"/>
    </row>
    <row r="5" spans="2:7" ht="12.75">
      <c r="B5" s="118"/>
      <c r="C5" s="118"/>
      <c r="D5" s="118"/>
      <c r="E5" s="118"/>
      <c r="F5" s="118"/>
      <c r="G5" s="118"/>
    </row>
    <row r="6" spans="2:7" ht="12.75">
      <c r="B6" s="118" t="s">
        <v>193</v>
      </c>
      <c r="C6" s="118"/>
      <c r="D6" s="118"/>
      <c r="E6" s="118"/>
      <c r="F6" s="118"/>
      <c r="G6" s="118"/>
    </row>
    <row r="7" spans="2:7" ht="12.75">
      <c r="B7" s="121" t="s">
        <v>194</v>
      </c>
      <c r="C7" s="119"/>
      <c r="D7" s="119"/>
      <c r="E7" s="119"/>
      <c r="F7" s="118"/>
      <c r="G7" s="118"/>
    </row>
    <row r="8" spans="2:7" ht="12.75">
      <c r="B8" s="120"/>
      <c r="C8" s="120"/>
      <c r="D8" s="120"/>
      <c r="E8" s="120"/>
      <c r="F8" s="120"/>
      <c r="G8" s="120"/>
    </row>
    <row r="9" spans="2:7" ht="12.75">
      <c r="B9" s="121" t="s">
        <v>195</v>
      </c>
      <c r="C9" s="120"/>
      <c r="D9" s="120"/>
      <c r="E9" s="120"/>
      <c r="F9" s="120"/>
      <c r="G9" s="120"/>
    </row>
    <row r="10" spans="2:7" ht="12.75">
      <c r="B10" s="121" t="s">
        <v>196</v>
      </c>
      <c r="C10" s="119"/>
      <c r="D10" s="119"/>
      <c r="E10" s="119"/>
      <c r="F10" s="118"/>
      <c r="G10" s="118"/>
    </row>
    <row r="11" spans="2:7" ht="12.75">
      <c r="B11" s="121" t="s">
        <v>197</v>
      </c>
      <c r="C11" s="120"/>
      <c r="D11" s="120"/>
      <c r="E11" s="120"/>
      <c r="F11" s="120"/>
      <c r="G11" s="120"/>
    </row>
    <row r="12" spans="2:7" ht="12.75">
      <c r="B12" s="121" t="s">
        <v>198</v>
      </c>
      <c r="C12" s="121"/>
      <c r="D12" s="121"/>
      <c r="E12" s="121"/>
      <c r="F12" s="121"/>
      <c r="G12" s="121"/>
    </row>
    <row r="13" spans="2:7" ht="12.75">
      <c r="B13" s="121" t="s">
        <v>199</v>
      </c>
      <c r="C13" s="121"/>
      <c r="D13" s="121"/>
      <c r="E13" s="121"/>
      <c r="F13" s="121"/>
      <c r="G13" s="121"/>
    </row>
    <row r="14" spans="2:7" ht="12.75">
      <c r="B14" s="118" t="s">
        <v>208</v>
      </c>
      <c r="C14" s="118"/>
      <c r="D14" s="118"/>
      <c r="E14" s="118"/>
      <c r="F14" s="118"/>
      <c r="G14" s="118"/>
    </row>
    <row r="15" spans="2:7" ht="12.75">
      <c r="B15" s="121" t="s">
        <v>200</v>
      </c>
      <c r="C15" s="121"/>
      <c r="D15" s="121"/>
      <c r="E15" s="121"/>
      <c r="F15" s="121"/>
      <c r="G15" s="121"/>
    </row>
    <row r="16" spans="2:7" ht="12.75">
      <c r="B16" s="121" t="s">
        <v>201</v>
      </c>
      <c r="C16" s="119"/>
      <c r="D16" s="119"/>
      <c r="E16" s="119"/>
      <c r="F16" s="118"/>
      <c r="G16" s="118"/>
    </row>
    <row r="17" spans="2:7" ht="12.75">
      <c r="B17" s="121" t="s">
        <v>202</v>
      </c>
      <c r="C17" s="120"/>
      <c r="D17" s="120"/>
      <c r="E17" s="120"/>
      <c r="F17" s="120"/>
      <c r="G17" s="120"/>
    </row>
    <row r="18" spans="2:7" ht="12.75">
      <c r="B18" s="119"/>
      <c r="C18" s="119"/>
      <c r="D18" s="118"/>
      <c r="E18" s="118"/>
      <c r="F18" s="118"/>
      <c r="G18" s="118"/>
    </row>
    <row r="19" spans="2:7" ht="12.75">
      <c r="B19" s="121" t="s">
        <v>203</v>
      </c>
      <c r="C19" s="121"/>
      <c r="D19" s="121"/>
      <c r="E19" s="121"/>
      <c r="F19" s="121"/>
      <c r="G19" s="121"/>
    </row>
    <row r="20" spans="2:7" ht="12.75">
      <c r="B20" s="121" t="s">
        <v>205</v>
      </c>
      <c r="C20" s="121"/>
      <c r="D20" s="121"/>
      <c r="E20" s="121"/>
      <c r="F20" s="121"/>
      <c r="G20" s="121"/>
    </row>
    <row r="21" spans="2:8" ht="12.75">
      <c r="B21" s="121" t="s">
        <v>206</v>
      </c>
      <c r="C21" s="121"/>
      <c r="D21" s="121"/>
      <c r="E21" s="121"/>
      <c r="F21" s="121"/>
      <c r="G21" s="121"/>
      <c r="H21" t="s">
        <v>7</v>
      </c>
    </row>
    <row r="22" spans="2:7" ht="12.75">
      <c r="B22" s="121" t="s">
        <v>207</v>
      </c>
      <c r="C22" s="119"/>
      <c r="D22" s="119"/>
      <c r="E22" s="119"/>
      <c r="F22" s="118"/>
      <c r="G22" s="118"/>
    </row>
    <row r="23" spans="2:9" ht="12.75">
      <c r="B23" s="118"/>
      <c r="C23" s="118"/>
      <c r="D23" s="118"/>
      <c r="E23" s="118"/>
      <c r="F23" s="118"/>
      <c r="G23" s="118"/>
      <c r="H23" t="s">
        <v>7</v>
      </c>
      <c r="I23" t="s">
        <v>7</v>
      </c>
    </row>
    <row r="24" spans="2:7" ht="12.75">
      <c r="B24" s="118" t="s">
        <v>184</v>
      </c>
      <c r="C24" s="118"/>
      <c r="D24" s="118"/>
      <c r="E24" s="118"/>
      <c r="F24" s="118"/>
      <c r="G24" s="118"/>
    </row>
    <row r="25" spans="2:11" ht="12.75">
      <c r="B25" s="118" t="s">
        <v>182</v>
      </c>
      <c r="C25" s="118"/>
      <c r="D25" s="118"/>
      <c r="E25" s="118"/>
      <c r="F25" s="118"/>
      <c r="G25" s="118"/>
      <c r="K25" t="s">
        <v>204</v>
      </c>
    </row>
    <row r="26" spans="2:7" ht="12.75">
      <c r="B26" s="118" t="s">
        <v>183</v>
      </c>
      <c r="C26" s="118"/>
      <c r="D26" s="118"/>
      <c r="E26" s="118"/>
      <c r="F26" s="118"/>
      <c r="G26" s="118"/>
    </row>
    <row r="27" spans="2:7" ht="12.75">
      <c r="B27" s="118" t="s">
        <v>185</v>
      </c>
      <c r="C27" s="118"/>
      <c r="D27" s="118"/>
      <c r="E27" s="118"/>
      <c r="F27" s="118"/>
      <c r="G27" s="118"/>
    </row>
    <row r="28" spans="2:7" ht="12.75">
      <c r="B28" s="118"/>
      <c r="C28" s="118"/>
      <c r="D28" s="118"/>
      <c r="E28" s="118"/>
      <c r="F28" s="118"/>
      <c r="G28" s="118"/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>
    <tabColor indexed="8"/>
  </sheetPr>
  <dimension ref="B2:H28"/>
  <sheetViews>
    <sheetView zoomScalePageLayoutView="0" workbookViewId="0" topLeftCell="A1">
      <selection activeCell="C27" sqref="C27"/>
    </sheetView>
  </sheetViews>
  <sheetFormatPr defaultColWidth="9.00390625" defaultRowHeight="12.75"/>
  <sheetData>
    <row r="2" spans="2:7" ht="12.75">
      <c r="B2" s="122"/>
      <c r="C2" s="122"/>
      <c r="D2" s="122"/>
      <c r="E2" s="122"/>
      <c r="F2" s="122"/>
      <c r="G2" s="122"/>
    </row>
    <row r="3" spans="2:7" ht="12.75">
      <c r="B3" s="122"/>
      <c r="C3" s="122"/>
      <c r="D3" s="122"/>
      <c r="E3" s="122"/>
      <c r="F3" s="122"/>
      <c r="G3" s="122"/>
    </row>
    <row r="4" spans="2:7" ht="12.75">
      <c r="B4" s="122"/>
      <c r="C4" s="122"/>
      <c r="D4" s="122"/>
      <c r="E4" s="122"/>
      <c r="F4" s="122"/>
      <c r="G4" s="122"/>
    </row>
    <row r="5" spans="2:7" ht="12.75">
      <c r="B5" s="122"/>
      <c r="C5" s="122"/>
      <c r="D5" s="122"/>
      <c r="E5" s="122"/>
      <c r="F5" s="122"/>
      <c r="G5" s="122"/>
    </row>
    <row r="6" spans="2:7" ht="12.75">
      <c r="B6" s="122" t="s">
        <v>186</v>
      </c>
      <c r="C6" s="122"/>
      <c r="D6" s="122"/>
      <c r="E6" s="122"/>
      <c r="F6" s="122"/>
      <c r="G6" s="122"/>
    </row>
    <row r="7" spans="2:7" ht="12.75">
      <c r="B7" s="123" t="s">
        <v>175</v>
      </c>
      <c r="C7" s="123"/>
      <c r="D7" s="123"/>
      <c r="E7" s="123"/>
      <c r="F7" s="122"/>
      <c r="G7" s="122"/>
    </row>
    <row r="8" spans="2:7" ht="12.75">
      <c r="B8" s="124" t="s">
        <v>49</v>
      </c>
      <c r="C8" s="124"/>
      <c r="D8" s="124"/>
      <c r="E8" s="124"/>
      <c r="F8" s="124"/>
      <c r="G8" s="124"/>
    </row>
    <row r="9" spans="2:7" ht="12.75">
      <c r="B9" s="124" t="s">
        <v>50</v>
      </c>
      <c r="C9" s="124"/>
      <c r="D9" s="124"/>
      <c r="E9" s="124"/>
      <c r="F9" s="124"/>
      <c r="G9" s="124"/>
    </row>
    <row r="10" spans="2:7" ht="12.75">
      <c r="B10" s="123" t="s">
        <v>176</v>
      </c>
      <c r="C10" s="123"/>
      <c r="D10" s="123"/>
      <c r="E10" s="123"/>
      <c r="F10" s="122"/>
      <c r="G10" s="122"/>
    </row>
    <row r="11" spans="2:7" ht="12.75">
      <c r="B11" s="124" t="s">
        <v>48</v>
      </c>
      <c r="C11" s="124"/>
      <c r="D11" s="124"/>
      <c r="E11" s="124"/>
      <c r="F11" s="124"/>
      <c r="G11" s="124"/>
    </row>
    <row r="12" spans="2:7" ht="12.75">
      <c r="B12" s="123" t="s">
        <v>177</v>
      </c>
      <c r="C12" s="123"/>
      <c r="D12" s="123"/>
      <c r="E12" s="123"/>
      <c r="F12" s="125"/>
      <c r="G12" s="125"/>
    </row>
    <row r="13" spans="2:7" ht="12.75">
      <c r="B13" s="124" t="s">
        <v>187</v>
      </c>
      <c r="C13" s="124"/>
      <c r="D13" s="124"/>
      <c r="E13" s="124"/>
      <c r="F13" s="124"/>
      <c r="G13" s="124"/>
    </row>
    <row r="14" spans="2:7" ht="12.75">
      <c r="B14" s="122" t="s">
        <v>188</v>
      </c>
      <c r="C14" s="122"/>
      <c r="D14" s="122"/>
      <c r="E14" s="122"/>
      <c r="F14" s="122"/>
      <c r="G14" s="122"/>
    </row>
    <row r="15" spans="2:7" ht="12.75">
      <c r="B15" s="124" t="s">
        <v>97</v>
      </c>
      <c r="C15" s="124"/>
      <c r="D15" s="124"/>
      <c r="E15" s="124"/>
      <c r="F15" s="124"/>
      <c r="G15" s="122"/>
    </row>
    <row r="16" spans="2:7" ht="12.75">
      <c r="B16" s="123" t="s">
        <v>178</v>
      </c>
      <c r="C16" s="123"/>
      <c r="D16" s="123"/>
      <c r="E16" s="123"/>
      <c r="F16" s="122"/>
      <c r="G16" s="122"/>
    </row>
    <row r="17" spans="2:7" ht="12.75">
      <c r="B17" s="124" t="s">
        <v>96</v>
      </c>
      <c r="C17" s="124"/>
      <c r="D17" s="124"/>
      <c r="E17" s="124"/>
      <c r="F17" s="124"/>
      <c r="G17" s="124"/>
    </row>
    <row r="18" spans="2:7" ht="12.75">
      <c r="B18" s="123" t="s">
        <v>179</v>
      </c>
      <c r="C18" s="123"/>
      <c r="D18" s="122"/>
      <c r="E18" s="122"/>
      <c r="F18" s="122"/>
      <c r="G18" s="122"/>
    </row>
    <row r="19" spans="2:7" ht="12.75">
      <c r="B19" s="124" t="s">
        <v>65</v>
      </c>
      <c r="C19" s="124"/>
      <c r="D19" s="124"/>
      <c r="E19" s="124"/>
      <c r="F19" s="122"/>
      <c r="G19" s="122"/>
    </row>
    <row r="20" spans="2:7" ht="12.75">
      <c r="B20" s="123" t="s">
        <v>180</v>
      </c>
      <c r="C20" s="123"/>
      <c r="D20" s="123"/>
      <c r="E20" s="122"/>
      <c r="F20" s="122"/>
      <c r="G20" s="122"/>
    </row>
    <row r="21" spans="2:8" ht="12.75">
      <c r="B21" s="124" t="s">
        <v>172</v>
      </c>
      <c r="C21" s="124"/>
      <c r="D21" s="124"/>
      <c r="E21" s="124"/>
      <c r="F21" s="122"/>
      <c r="G21" s="122"/>
      <c r="H21" t="s">
        <v>7</v>
      </c>
    </row>
    <row r="22" spans="2:7" ht="12.75">
      <c r="B22" s="123" t="s">
        <v>181</v>
      </c>
      <c r="C22" s="123"/>
      <c r="D22" s="123"/>
      <c r="E22" s="123"/>
      <c r="F22" s="122"/>
      <c r="G22" s="122"/>
    </row>
    <row r="23" spans="2:7" ht="12.75">
      <c r="B23" s="122"/>
      <c r="C23" s="122"/>
      <c r="D23" s="122"/>
      <c r="E23" s="122"/>
      <c r="F23" s="122"/>
      <c r="G23" s="122"/>
    </row>
    <row r="24" spans="2:7" ht="12.75">
      <c r="B24" s="122"/>
      <c r="C24" s="122"/>
      <c r="D24" s="122"/>
      <c r="E24" s="122"/>
      <c r="F24" s="122"/>
      <c r="G24" s="122"/>
    </row>
    <row r="25" spans="2:7" ht="12.75">
      <c r="B25" s="122"/>
      <c r="C25" s="122"/>
      <c r="D25" s="122"/>
      <c r="E25" s="122"/>
      <c r="F25" s="122"/>
      <c r="G25" s="122"/>
    </row>
    <row r="26" spans="2:7" ht="12.75">
      <c r="B26" s="122"/>
      <c r="C26" s="122"/>
      <c r="D26" s="122"/>
      <c r="E26" s="122"/>
      <c r="F26" s="122"/>
      <c r="G26" s="122"/>
    </row>
    <row r="27" spans="2:7" ht="12.75">
      <c r="B27" s="122"/>
      <c r="C27" s="122"/>
      <c r="D27" s="122"/>
      <c r="E27" s="122"/>
      <c r="F27" s="122"/>
      <c r="G27" s="122"/>
    </row>
    <row r="28" spans="2:7" ht="12.75">
      <c r="B28" s="122"/>
      <c r="C28" s="122"/>
      <c r="D28" s="122"/>
      <c r="E28" s="122"/>
      <c r="F28" s="122"/>
      <c r="G28" s="122"/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3:D24"/>
  <sheetViews>
    <sheetView zoomScalePageLayoutView="0" workbookViewId="0" topLeftCell="A1">
      <selection activeCell="D22" sqref="D22"/>
    </sheetView>
  </sheetViews>
  <sheetFormatPr defaultColWidth="9.00390625" defaultRowHeight="12.75"/>
  <sheetData>
    <row r="3" spans="1:4" ht="12.75">
      <c r="A3" s="30" t="s">
        <v>46</v>
      </c>
      <c r="B3" s="31"/>
      <c r="C3" s="32"/>
      <c r="D3" s="12"/>
    </row>
    <row r="4" spans="1:4" ht="12.75">
      <c r="A4" s="33" t="s">
        <v>47</v>
      </c>
      <c r="B4" s="34" t="s">
        <v>0</v>
      </c>
      <c r="C4" s="34" t="s">
        <v>1</v>
      </c>
      <c r="D4" s="35" t="s">
        <v>2</v>
      </c>
    </row>
    <row r="5" spans="1:4" ht="12.75">
      <c r="A5" s="19">
        <v>1</v>
      </c>
      <c r="B5" s="25">
        <v>4</v>
      </c>
      <c r="C5" s="25">
        <v>7.75</v>
      </c>
      <c r="D5" s="26">
        <v>0.479</v>
      </c>
    </row>
    <row r="6" spans="1:4" ht="12.75">
      <c r="A6" s="19">
        <v>2</v>
      </c>
      <c r="B6" s="25">
        <v>4</v>
      </c>
      <c r="C6" s="25">
        <v>8.5</v>
      </c>
      <c r="D6" s="26">
        <v>0.645</v>
      </c>
    </row>
    <row r="7" spans="1:4" ht="12.75">
      <c r="A7" s="19">
        <v>3</v>
      </c>
      <c r="B7" s="25">
        <v>4</v>
      </c>
      <c r="C7" s="25">
        <v>9.25</v>
      </c>
      <c r="D7" s="26">
        <v>0.629</v>
      </c>
    </row>
    <row r="8" spans="1:4" ht="12.75">
      <c r="A8" s="19">
        <v>4</v>
      </c>
      <c r="B8" s="25">
        <v>4</v>
      </c>
      <c r="C8" s="25">
        <v>10.25</v>
      </c>
      <c r="D8" s="26">
        <v>0.479</v>
      </c>
    </row>
    <row r="9" spans="1:4" ht="12.75">
      <c r="A9" s="19">
        <v>5</v>
      </c>
      <c r="B9" s="24"/>
      <c r="C9" s="25"/>
      <c r="D9" s="26"/>
    </row>
    <row r="10" spans="1:4" ht="12.75">
      <c r="A10" s="19">
        <v>6</v>
      </c>
      <c r="B10" s="24"/>
      <c r="C10" s="25"/>
      <c r="D10" s="26"/>
    </row>
    <row r="11" spans="1:4" ht="12.75">
      <c r="A11" s="19">
        <v>7</v>
      </c>
      <c r="B11" s="24"/>
      <c r="C11" s="25"/>
      <c r="D11" s="26"/>
    </row>
    <row r="12" spans="1:4" ht="12.75">
      <c r="A12" s="19">
        <v>8</v>
      </c>
      <c r="B12" s="24"/>
      <c r="C12" s="25"/>
      <c r="D12" s="26"/>
    </row>
    <row r="13" spans="1:4" ht="12.75">
      <c r="A13" s="19">
        <v>9</v>
      </c>
      <c r="B13" s="24"/>
      <c r="C13" s="25"/>
      <c r="D13" s="26"/>
    </row>
    <row r="14" spans="1:4" ht="12.75">
      <c r="A14" s="19">
        <v>10</v>
      </c>
      <c r="B14" s="24"/>
      <c r="C14" s="25"/>
      <c r="D14" s="26"/>
    </row>
    <row r="15" spans="1:4" ht="12.75">
      <c r="A15" s="19">
        <v>11</v>
      </c>
      <c r="B15" s="24"/>
      <c r="C15" s="25"/>
      <c r="D15" s="26"/>
    </row>
    <row r="16" spans="1:4" ht="12.75">
      <c r="A16" s="19">
        <v>12</v>
      </c>
      <c r="B16" s="24"/>
      <c r="C16" s="25"/>
      <c r="D16" s="26"/>
    </row>
    <row r="17" spans="1:4" ht="12.75">
      <c r="A17" s="19">
        <v>13</v>
      </c>
      <c r="B17" s="24"/>
      <c r="C17" s="25"/>
      <c r="D17" s="26"/>
    </row>
    <row r="18" spans="1:4" ht="12.75">
      <c r="A18" s="19">
        <v>14</v>
      </c>
      <c r="B18" s="24"/>
      <c r="C18" s="25"/>
      <c r="D18" s="26"/>
    </row>
    <row r="19" spans="1:4" ht="12.75">
      <c r="A19" s="19">
        <v>15</v>
      </c>
      <c r="B19" s="24"/>
      <c r="C19" s="25"/>
      <c r="D19" s="26"/>
    </row>
    <row r="20" spans="1:4" ht="12.75">
      <c r="A20" s="19">
        <v>16</v>
      </c>
      <c r="B20" s="24"/>
      <c r="C20" s="25"/>
      <c r="D20" s="26"/>
    </row>
    <row r="21" spans="1:4" ht="12.75">
      <c r="A21" s="19">
        <v>17</v>
      </c>
      <c r="B21" s="24"/>
      <c r="C21" s="25"/>
      <c r="D21" s="26"/>
    </row>
    <row r="22" spans="1:4" ht="12.75">
      <c r="A22" s="19">
        <v>18</v>
      </c>
      <c r="B22" s="24"/>
      <c r="C22" s="25"/>
      <c r="D22" s="26"/>
    </row>
    <row r="23" spans="1:4" ht="12.75">
      <c r="A23" s="19">
        <v>19</v>
      </c>
      <c r="B23" s="24"/>
      <c r="C23" s="25"/>
      <c r="D23" s="26"/>
    </row>
    <row r="24" spans="1:4" ht="12.75">
      <c r="A24" s="20">
        <v>20</v>
      </c>
      <c r="B24" s="27"/>
      <c r="C24" s="28"/>
      <c r="D24" s="29"/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N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51" t="s">
        <v>61</v>
      </c>
    </row>
    <row r="2" ht="12.75">
      <c r="B2" s="1" t="s">
        <v>36</v>
      </c>
    </row>
    <row r="3" spans="1:8" ht="12.75">
      <c r="A3" t="s">
        <v>46</v>
      </c>
      <c r="H3" s="17" t="s">
        <v>42</v>
      </c>
    </row>
    <row r="4" spans="1:14" ht="12.75">
      <c r="A4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7" t="s">
        <v>43</v>
      </c>
      <c r="I4" s="1"/>
      <c r="J4" s="1"/>
      <c r="K4" s="1"/>
      <c r="M4" s="2" t="s">
        <v>22</v>
      </c>
      <c r="N4" s="3"/>
    </row>
    <row r="5" spans="1:14" ht="12.75">
      <c r="A5">
        <v>1</v>
      </c>
      <c r="B5">
        <f>ОБЪЕДИН!B5</f>
        <v>4</v>
      </c>
      <c r="C5">
        <f>ОБЪЕДИН!C5</f>
        <v>7.75</v>
      </c>
      <c r="D5">
        <f>ОБЪЕДИН!D5</f>
        <v>0.479</v>
      </c>
      <c r="E5">
        <f aca="true" t="shared" si="0" ref="E5:E24">B5*(D5^2)</f>
        <v>0.9177639999999999</v>
      </c>
      <c r="F5">
        <f aca="true" t="shared" si="1" ref="F5:F24">E5*(B5-1)</f>
        <v>2.7532919999999996</v>
      </c>
      <c r="G5">
        <f aca="true" t="shared" si="2" ref="G5:G24">B5*C5</f>
        <v>31</v>
      </c>
      <c r="H5">
        <f>IF(G5&gt;0,(C5-$G$26)^2,0)</f>
        <v>1.41015625</v>
      </c>
      <c r="I5">
        <f>B5*H5</f>
        <v>5.640625</v>
      </c>
      <c r="M5" s="8"/>
      <c r="N5" s="9"/>
    </row>
    <row r="6" spans="1:14" ht="12.75">
      <c r="A6">
        <v>2</v>
      </c>
      <c r="B6">
        <f>ОБЪЕДИН!B6</f>
        <v>4</v>
      </c>
      <c r="C6">
        <f>ОБЪЕДИН!C6</f>
        <v>8.5</v>
      </c>
      <c r="D6">
        <f>ОБЪЕДИН!D6</f>
        <v>0.645</v>
      </c>
      <c r="E6">
        <f t="shared" si="0"/>
        <v>1.6641000000000001</v>
      </c>
      <c r="F6">
        <f t="shared" si="1"/>
        <v>4.9923</v>
      </c>
      <c r="G6">
        <f t="shared" si="2"/>
        <v>34</v>
      </c>
      <c r="H6">
        <f aca="true" t="shared" si="3" ref="H6:H24">IF(G6&gt;0,(C6-$G$26)^2,0)</f>
        <v>0.19140625</v>
      </c>
      <c r="I6">
        <f aca="true" t="shared" si="4" ref="I6:I24">B6*H6</f>
        <v>0.765625</v>
      </c>
      <c r="M6" s="10"/>
      <c r="N6" s="3"/>
    </row>
    <row r="7" spans="1:14" ht="12.75">
      <c r="A7">
        <v>3</v>
      </c>
      <c r="B7">
        <f>ОБЪЕДИН!B7</f>
        <v>4</v>
      </c>
      <c r="C7">
        <f>ОБЪЕДИН!C7</f>
        <v>9.25</v>
      </c>
      <c r="D7">
        <f>ОБЪЕДИН!D7</f>
        <v>0.629</v>
      </c>
      <c r="E7">
        <f t="shared" si="0"/>
        <v>1.582564</v>
      </c>
      <c r="F7">
        <f t="shared" si="1"/>
        <v>4.747692000000001</v>
      </c>
      <c r="G7">
        <f t="shared" si="2"/>
        <v>37</v>
      </c>
      <c r="H7">
        <f t="shared" si="3"/>
        <v>0.09765625</v>
      </c>
      <c r="I7">
        <f t="shared" si="4"/>
        <v>0.390625</v>
      </c>
      <c r="M7" s="5"/>
      <c r="N7" s="4"/>
    </row>
    <row r="8" spans="1:14" ht="12.75">
      <c r="A8">
        <v>4</v>
      </c>
      <c r="B8">
        <f>ОБЪЕДИН!B8</f>
        <v>4</v>
      </c>
      <c r="C8">
        <f>ОБЪЕДИН!C8</f>
        <v>10.25</v>
      </c>
      <c r="D8">
        <f>ОБЪЕДИН!D8</f>
        <v>0.479</v>
      </c>
      <c r="E8">
        <f t="shared" si="0"/>
        <v>0.9177639999999999</v>
      </c>
      <c r="F8">
        <f t="shared" si="1"/>
        <v>2.7532919999999996</v>
      </c>
      <c r="G8">
        <f t="shared" si="2"/>
        <v>41</v>
      </c>
      <c r="H8">
        <f t="shared" si="3"/>
        <v>1.72265625</v>
      </c>
      <c r="I8">
        <f t="shared" si="4"/>
        <v>6.890625</v>
      </c>
      <c r="M8" s="5"/>
      <c r="N8" s="4"/>
    </row>
    <row r="9" spans="1:14" ht="12.75">
      <c r="A9">
        <v>5</v>
      </c>
      <c r="B9">
        <f>ОБЪЕДИН!B9</f>
        <v>0</v>
      </c>
      <c r="C9">
        <f>ОБЪЕДИН!C9</f>
        <v>0</v>
      </c>
      <c r="D9">
        <f>ОБЪЕДИН!D9</f>
        <v>0</v>
      </c>
      <c r="E9">
        <f t="shared" si="0"/>
        <v>0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M9" s="5"/>
      <c r="N9" s="4"/>
    </row>
    <row r="10" spans="1:14" ht="12.75">
      <c r="A10">
        <v>6</v>
      </c>
      <c r="B10">
        <f>ОБЪЕДИН!B10</f>
        <v>0</v>
      </c>
      <c r="C10">
        <f>ОБЪЕДИН!C10</f>
        <v>0</v>
      </c>
      <c r="D10">
        <f>ОБЪЕДИН!D10</f>
        <v>0</v>
      </c>
      <c r="E10">
        <f t="shared" si="0"/>
        <v>0</v>
      </c>
      <c r="F10">
        <f t="shared" si="1"/>
        <v>0</v>
      </c>
      <c r="G10">
        <f t="shared" si="2"/>
        <v>0</v>
      </c>
      <c r="H10">
        <f t="shared" si="3"/>
        <v>0</v>
      </c>
      <c r="I10">
        <f t="shared" si="4"/>
        <v>0</v>
      </c>
      <c r="M10" s="5"/>
      <c r="N10" s="4"/>
    </row>
    <row r="11" spans="1:14" ht="12.75">
      <c r="A11">
        <v>7</v>
      </c>
      <c r="B11">
        <f>ОБЪЕДИН!B11</f>
        <v>0</v>
      </c>
      <c r="C11">
        <f>ОБЪЕДИН!C11</f>
        <v>0</v>
      </c>
      <c r="D11">
        <f>ОБЪЕДИН!D11</f>
        <v>0</v>
      </c>
      <c r="E11">
        <f t="shared" si="0"/>
        <v>0</v>
      </c>
      <c r="F11">
        <f t="shared" si="1"/>
        <v>0</v>
      </c>
      <c r="G11">
        <f t="shared" si="2"/>
        <v>0</v>
      </c>
      <c r="H11">
        <f t="shared" si="3"/>
        <v>0</v>
      </c>
      <c r="I11">
        <f t="shared" si="4"/>
        <v>0</v>
      </c>
      <c r="M11" s="6"/>
      <c r="N11" s="7"/>
    </row>
    <row r="12" spans="1:14" ht="12.75">
      <c r="A12">
        <v>8</v>
      </c>
      <c r="B12">
        <f>ОБЪЕДИН!B12</f>
        <v>0</v>
      </c>
      <c r="C12">
        <f>ОБЪЕДИН!C12</f>
        <v>0</v>
      </c>
      <c r="D12">
        <f>ОБЪЕДИН!D12</f>
        <v>0</v>
      </c>
      <c r="E12">
        <f t="shared" si="0"/>
        <v>0</v>
      </c>
      <c r="F12">
        <f t="shared" si="1"/>
        <v>0</v>
      </c>
      <c r="G12">
        <f t="shared" si="2"/>
        <v>0</v>
      </c>
      <c r="H12">
        <f t="shared" si="3"/>
        <v>0</v>
      </c>
      <c r="I12">
        <f t="shared" si="4"/>
        <v>0</v>
      </c>
      <c r="M12" s="5"/>
      <c r="N12" s="4"/>
    </row>
    <row r="13" spans="1:14" ht="12.75">
      <c r="A13">
        <v>9</v>
      </c>
      <c r="B13">
        <f>ОБЪЕДИН!B13</f>
        <v>0</v>
      </c>
      <c r="C13">
        <f>ОБЪЕДИН!C13</f>
        <v>0</v>
      </c>
      <c r="D13">
        <f>ОБЪЕДИН!D13</f>
        <v>0</v>
      </c>
      <c r="E13">
        <f t="shared" si="0"/>
        <v>0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M13" s="8" t="s">
        <v>26</v>
      </c>
      <c r="N13" s="9"/>
    </row>
    <row r="14" spans="1:14" ht="12.75">
      <c r="A14">
        <v>10</v>
      </c>
      <c r="B14">
        <f>ОБЪЕДИН!B14</f>
        <v>0</v>
      </c>
      <c r="C14">
        <f>ОБЪЕДИН!C14</f>
        <v>0</v>
      </c>
      <c r="D14">
        <f>ОБЪЕДИН!D14</f>
        <v>0</v>
      </c>
      <c r="E14">
        <f t="shared" si="0"/>
        <v>0</v>
      </c>
      <c r="F14">
        <f t="shared" si="1"/>
        <v>0</v>
      </c>
      <c r="G14">
        <f t="shared" si="2"/>
        <v>0</v>
      </c>
      <c r="H14">
        <f t="shared" si="3"/>
        <v>0</v>
      </c>
      <c r="I14">
        <f t="shared" si="4"/>
        <v>0</v>
      </c>
      <c r="K14" s="1" t="s">
        <v>41</v>
      </c>
      <c r="M14" s="10">
        <f>B25</f>
        <v>16</v>
      </c>
      <c r="N14" s="3"/>
    </row>
    <row r="15" spans="1:14" ht="12.75">
      <c r="A15">
        <v>11</v>
      </c>
      <c r="B15">
        <f>ОБЪЕДИН!B15</f>
        <v>0</v>
      </c>
      <c r="C15">
        <f>ОБЪЕДИН!C15</f>
        <v>0</v>
      </c>
      <c r="D15">
        <f>ОБЪЕДИН!D15</f>
        <v>0</v>
      </c>
      <c r="E15">
        <f t="shared" si="0"/>
        <v>0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K15" s="1" t="s">
        <v>37</v>
      </c>
      <c r="M15" s="5">
        <f>G26</f>
        <v>8.9375</v>
      </c>
      <c r="N15" s="4"/>
    </row>
    <row r="16" spans="1:14" ht="12.75">
      <c r="A16">
        <v>12</v>
      </c>
      <c r="B16">
        <f>ОБЪЕДИН!B16</f>
        <v>0</v>
      </c>
      <c r="C16">
        <f>ОБЪЕДИН!C16</f>
        <v>0</v>
      </c>
      <c r="D16">
        <f>ОБЪЕДИН!D16</f>
        <v>0</v>
      </c>
      <c r="E16">
        <f t="shared" si="0"/>
        <v>0</v>
      </c>
      <c r="F16">
        <f t="shared" si="1"/>
        <v>0</v>
      </c>
      <c r="G16">
        <f t="shared" si="2"/>
        <v>0</v>
      </c>
      <c r="H16">
        <f t="shared" si="3"/>
        <v>0</v>
      </c>
      <c r="I16">
        <f t="shared" si="4"/>
        <v>0</v>
      </c>
      <c r="K16" s="1" t="s">
        <v>38</v>
      </c>
      <c r="M16" s="5">
        <f>IF(I28&gt;2,SQRT(I27/I28),0)</f>
        <v>1.3888622681893263</v>
      </c>
      <c r="N16" s="4"/>
    </row>
    <row r="17" spans="1:14" ht="12.75">
      <c r="A17">
        <v>13</v>
      </c>
      <c r="B17">
        <f>ОБЪЕДИН!B17</f>
        <v>0</v>
      </c>
      <c r="C17">
        <f>ОБЪЕДИН!C17</f>
        <v>0</v>
      </c>
      <c r="D17">
        <f>ОБЪЕДИН!D17</f>
        <v>0</v>
      </c>
      <c r="E17">
        <f t="shared" si="0"/>
        <v>0</v>
      </c>
      <c r="F17">
        <f t="shared" si="1"/>
        <v>0</v>
      </c>
      <c r="G17">
        <f t="shared" si="2"/>
        <v>0</v>
      </c>
      <c r="H17">
        <f t="shared" si="3"/>
        <v>0</v>
      </c>
      <c r="I17">
        <f t="shared" si="4"/>
        <v>0</v>
      </c>
      <c r="K17" s="1" t="s">
        <v>39</v>
      </c>
      <c r="M17" s="6">
        <f>IF(I28&gt;1,M16/SQRT(B25))</f>
        <v>0.3472155670473316</v>
      </c>
      <c r="N17" s="7"/>
    </row>
    <row r="18" spans="1:14" ht="12.75">
      <c r="A18">
        <v>14</v>
      </c>
      <c r="B18">
        <f>ОБЪЕДИН!B18</f>
        <v>0</v>
      </c>
      <c r="C18">
        <f>ОБЪЕДИН!C18</f>
        <v>0</v>
      </c>
      <c r="D18">
        <f>ОБЪЕДИН!D18</f>
        <v>0</v>
      </c>
      <c r="E18">
        <f t="shared" si="0"/>
        <v>0</v>
      </c>
      <c r="F18">
        <f t="shared" si="1"/>
        <v>0</v>
      </c>
      <c r="G18">
        <f t="shared" si="2"/>
        <v>0</v>
      </c>
      <c r="H18">
        <f t="shared" si="3"/>
        <v>0</v>
      </c>
      <c r="I18">
        <f t="shared" si="4"/>
        <v>0</v>
      </c>
      <c r="K18" s="1" t="s">
        <v>40</v>
      </c>
      <c r="M18" s="5">
        <f>IF(M15&gt;0,100*M16/M15)</f>
        <v>15.539717686034422</v>
      </c>
      <c r="N18" s="4"/>
    </row>
    <row r="19" spans="1:14" ht="12.75">
      <c r="A19">
        <v>15</v>
      </c>
      <c r="B19">
        <f>ОБЪЕДИН!B19</f>
        <v>0</v>
      </c>
      <c r="C19">
        <f>ОБЪЕДИН!C19</f>
        <v>0</v>
      </c>
      <c r="D19">
        <f>ОБЪЕДИН!D19</f>
        <v>0</v>
      </c>
      <c r="E19">
        <f t="shared" si="0"/>
        <v>0</v>
      </c>
      <c r="F19">
        <f t="shared" si="1"/>
        <v>0</v>
      </c>
      <c r="G19">
        <f t="shared" si="2"/>
        <v>0</v>
      </c>
      <c r="H19">
        <f t="shared" si="3"/>
        <v>0</v>
      </c>
      <c r="I19">
        <f t="shared" si="4"/>
        <v>0</v>
      </c>
      <c r="M19" s="11"/>
      <c r="N19" s="12"/>
    </row>
    <row r="20" spans="1:14" ht="12.75">
      <c r="A20">
        <v>16</v>
      </c>
      <c r="B20">
        <f>ОБЪЕДИН!B20</f>
        <v>0</v>
      </c>
      <c r="C20">
        <f>ОБЪЕДИН!C20</f>
        <v>0</v>
      </c>
      <c r="D20">
        <f>ОБЪЕДИН!D20</f>
        <v>0</v>
      </c>
      <c r="E20">
        <f t="shared" si="0"/>
        <v>0</v>
      </c>
      <c r="F20">
        <f t="shared" si="1"/>
        <v>0</v>
      </c>
      <c r="G20">
        <f t="shared" si="2"/>
        <v>0</v>
      </c>
      <c r="H20">
        <f t="shared" si="3"/>
        <v>0</v>
      </c>
      <c r="I20">
        <f t="shared" si="4"/>
        <v>0</v>
      </c>
      <c r="M20" s="13"/>
      <c r="N20" s="14"/>
    </row>
    <row r="21" spans="1:14" ht="12.75">
      <c r="A21">
        <v>17</v>
      </c>
      <c r="B21">
        <f>ОБЪЕДИН!B21</f>
        <v>0</v>
      </c>
      <c r="C21">
        <f>ОБЪЕДИН!C21</f>
        <v>0</v>
      </c>
      <c r="D21">
        <f>ОБЪЕДИН!D21</f>
        <v>0</v>
      </c>
      <c r="E21">
        <f t="shared" si="0"/>
        <v>0</v>
      </c>
      <c r="F21">
        <f t="shared" si="1"/>
        <v>0</v>
      </c>
      <c r="G21">
        <f t="shared" si="2"/>
        <v>0</v>
      </c>
      <c r="H21">
        <f t="shared" si="3"/>
        <v>0</v>
      </c>
      <c r="I21">
        <f t="shared" si="4"/>
        <v>0</v>
      </c>
      <c r="M21" s="13"/>
      <c r="N21" s="14"/>
    </row>
    <row r="22" spans="1:14" ht="12.75">
      <c r="A22">
        <v>18</v>
      </c>
      <c r="B22">
        <f>ОБЪЕДИН!B22</f>
        <v>0</v>
      </c>
      <c r="C22">
        <f>ОБЪЕДИН!C22</f>
        <v>0</v>
      </c>
      <c r="D22">
        <f>ОБЪЕДИН!D22</f>
        <v>0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I22">
        <f t="shared" si="4"/>
        <v>0</v>
      </c>
      <c r="M22" s="13"/>
      <c r="N22" s="14"/>
    </row>
    <row r="23" spans="1:14" ht="12.75">
      <c r="A23">
        <v>19</v>
      </c>
      <c r="B23">
        <f>ОБЪЕДИН!B23</f>
        <v>0</v>
      </c>
      <c r="C23">
        <f>ОБЪЕДИН!C23</f>
        <v>0</v>
      </c>
      <c r="D23">
        <f>ОБЪЕДИН!D23</f>
        <v>0</v>
      </c>
      <c r="E23">
        <f t="shared" si="0"/>
        <v>0</v>
      </c>
      <c r="F23">
        <f t="shared" si="1"/>
        <v>0</v>
      </c>
      <c r="G23">
        <f t="shared" si="2"/>
        <v>0</v>
      </c>
      <c r="H23">
        <f t="shared" si="3"/>
        <v>0</v>
      </c>
      <c r="I23">
        <f t="shared" si="4"/>
        <v>0</v>
      </c>
      <c r="M23" s="13"/>
      <c r="N23" s="14"/>
    </row>
    <row r="24" spans="1:14" ht="12.75">
      <c r="A24">
        <v>20</v>
      </c>
      <c r="B24">
        <f>ОБЪЕДИН!B24</f>
        <v>0</v>
      </c>
      <c r="C24">
        <f>ОБЪЕДИН!C24</f>
        <v>0</v>
      </c>
      <c r="D24">
        <f>ОБЪЕДИН!D24</f>
        <v>0</v>
      </c>
      <c r="E24">
        <f t="shared" si="0"/>
        <v>0</v>
      </c>
      <c r="F24">
        <f t="shared" si="1"/>
        <v>0</v>
      </c>
      <c r="G24">
        <f t="shared" si="2"/>
        <v>0</v>
      </c>
      <c r="H24">
        <f t="shared" si="3"/>
        <v>0</v>
      </c>
      <c r="I24">
        <f t="shared" si="4"/>
        <v>0</v>
      </c>
      <c r="M24" s="15"/>
      <c r="N24" s="16"/>
    </row>
    <row r="25" spans="1:9" ht="12.75">
      <c r="A25" t="s">
        <v>18</v>
      </c>
      <c r="B25">
        <f>SUM(B5:B24)</f>
        <v>16</v>
      </c>
      <c r="F25" s="18">
        <f>SUM(F5:F24)</f>
        <v>15.246576000000001</v>
      </c>
      <c r="G25" s="18">
        <f>SUM(G5:G24)</f>
        <v>143</v>
      </c>
      <c r="H25" s="18"/>
      <c r="I25" s="18">
        <f>SUM(I5:I24)</f>
        <v>13.6875</v>
      </c>
    </row>
    <row r="26" spans="6:9" ht="12.75">
      <c r="F26" s="18"/>
      <c r="G26" s="18">
        <f>IF(B25&gt;0,G25/B25,0)</f>
        <v>8.9375</v>
      </c>
      <c r="H26" s="18"/>
      <c r="I26" s="18"/>
    </row>
    <row r="27" spans="6:9" ht="12.75">
      <c r="F27" s="18"/>
      <c r="G27" s="18"/>
      <c r="H27" s="18" t="s">
        <v>44</v>
      </c>
      <c r="I27" s="18">
        <f>F25+I25</f>
        <v>28.934076</v>
      </c>
    </row>
    <row r="28" spans="6:9" ht="12.75">
      <c r="F28" s="18"/>
      <c r="G28" s="18"/>
      <c r="H28" s="18" t="s">
        <v>45</v>
      </c>
      <c r="I28" s="18">
        <f>IF(B25&gt;1,(B25-1),0)</f>
        <v>15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12"/>
  </sheetPr>
  <dimension ref="A3:D24"/>
  <sheetViews>
    <sheetView zoomScalePageLayoutView="0" workbookViewId="0" topLeftCell="A1">
      <selection activeCell="B5" sqref="B5"/>
    </sheetView>
  </sheetViews>
  <sheetFormatPr defaultColWidth="9.00390625" defaultRowHeight="12.75"/>
  <sheetData>
    <row r="3" spans="1:4" ht="12.75">
      <c r="A3" s="30" t="s">
        <v>14</v>
      </c>
      <c r="B3" s="36">
        <v>4</v>
      </c>
      <c r="C3" s="32"/>
      <c r="D3" s="12"/>
    </row>
    <row r="4" spans="1:4" ht="12.75">
      <c r="A4" s="37" t="s">
        <v>17</v>
      </c>
      <c r="B4" s="38" t="s">
        <v>0</v>
      </c>
      <c r="C4" s="38" t="s">
        <v>1</v>
      </c>
      <c r="D4" s="39" t="s">
        <v>2</v>
      </c>
    </row>
    <row r="5" spans="1:4" ht="12.75">
      <c r="A5" s="19">
        <v>1</v>
      </c>
      <c r="B5" s="25">
        <v>4</v>
      </c>
      <c r="C5" s="25">
        <v>7.75</v>
      </c>
      <c r="D5" s="26">
        <v>0.479</v>
      </c>
    </row>
    <row r="6" spans="1:4" ht="12.75">
      <c r="A6" s="19">
        <v>2</v>
      </c>
      <c r="B6" s="25">
        <v>4</v>
      </c>
      <c r="C6" s="25">
        <v>8.5</v>
      </c>
      <c r="D6" s="26">
        <v>0.645</v>
      </c>
    </row>
    <row r="7" spans="1:4" ht="12.75">
      <c r="A7" s="19">
        <v>3</v>
      </c>
      <c r="B7" s="25">
        <v>4</v>
      </c>
      <c r="C7" s="25">
        <v>9.25</v>
      </c>
      <c r="D7" s="26">
        <v>0.629</v>
      </c>
    </row>
    <row r="8" spans="1:4" ht="12.75">
      <c r="A8" s="19">
        <v>4</v>
      </c>
      <c r="B8" s="25">
        <v>4</v>
      </c>
      <c r="C8" s="25">
        <v>10.25</v>
      </c>
      <c r="D8" s="26">
        <v>0.479</v>
      </c>
    </row>
    <row r="9" spans="1:4" ht="12.75">
      <c r="A9" s="19">
        <v>5</v>
      </c>
      <c r="B9" s="25"/>
      <c r="C9" s="25"/>
      <c r="D9" s="26"/>
    </row>
    <row r="10" spans="1:4" ht="12.75">
      <c r="A10" s="19">
        <v>6</v>
      </c>
      <c r="B10" s="25"/>
      <c r="C10" s="25"/>
      <c r="D10" s="26"/>
    </row>
    <row r="11" spans="1:4" ht="12.75">
      <c r="A11" s="19">
        <v>7</v>
      </c>
      <c r="B11" s="25"/>
      <c r="C11" s="25"/>
      <c r="D11" s="26"/>
    </row>
    <row r="12" spans="1:4" ht="12.75">
      <c r="A12" s="19">
        <v>8</v>
      </c>
      <c r="B12" s="25"/>
      <c r="C12" s="25"/>
      <c r="D12" s="26"/>
    </row>
    <row r="13" spans="1:4" ht="12.75">
      <c r="A13" s="19">
        <v>9</v>
      </c>
      <c r="B13" s="25"/>
      <c r="C13" s="25"/>
      <c r="D13" s="26"/>
    </row>
    <row r="14" spans="1:4" ht="12.75">
      <c r="A14" s="19">
        <v>10</v>
      </c>
      <c r="B14" s="25"/>
      <c r="C14" s="25"/>
      <c r="D14" s="26"/>
    </row>
    <row r="15" spans="1:4" ht="12.75">
      <c r="A15" s="19">
        <v>11</v>
      </c>
      <c r="B15" s="25"/>
      <c r="C15" s="25"/>
      <c r="D15" s="26"/>
    </row>
    <row r="16" spans="1:4" ht="12.75">
      <c r="A16" s="19">
        <v>12</v>
      </c>
      <c r="B16" s="25"/>
      <c r="C16" s="25"/>
      <c r="D16" s="26"/>
    </row>
    <row r="17" spans="1:4" ht="12.75">
      <c r="A17" s="19">
        <v>13</v>
      </c>
      <c r="B17" s="25"/>
      <c r="C17" s="25"/>
      <c r="D17" s="26"/>
    </row>
    <row r="18" spans="1:4" ht="12.75">
      <c r="A18" s="19">
        <v>14</v>
      </c>
      <c r="B18" s="25"/>
      <c r="C18" s="25"/>
      <c r="D18" s="26"/>
    </row>
    <row r="19" spans="1:4" ht="12.75">
      <c r="A19" s="19">
        <v>15</v>
      </c>
      <c r="B19" s="25"/>
      <c r="C19" s="25"/>
      <c r="D19" s="26"/>
    </row>
    <row r="20" spans="1:4" ht="12.75">
      <c r="A20" s="19">
        <v>16</v>
      </c>
      <c r="B20" s="25"/>
      <c r="C20" s="25"/>
      <c r="D20" s="26"/>
    </row>
    <row r="21" spans="1:4" ht="12.75">
      <c r="A21" s="19">
        <v>17</v>
      </c>
      <c r="B21" s="25"/>
      <c r="C21" s="25"/>
      <c r="D21" s="26"/>
    </row>
    <row r="22" spans="1:4" ht="12.75">
      <c r="A22" s="19">
        <v>18</v>
      </c>
      <c r="B22" s="25"/>
      <c r="C22" s="25"/>
      <c r="D22" s="26"/>
    </row>
    <row r="23" spans="1:4" ht="12.75">
      <c r="A23" s="19">
        <v>19</v>
      </c>
      <c r="B23" s="25"/>
      <c r="C23" s="25"/>
      <c r="D23" s="26"/>
    </row>
    <row r="24" spans="1:4" ht="12.75">
      <c r="A24" s="20">
        <v>20</v>
      </c>
      <c r="B24" s="28"/>
      <c r="C24" s="28"/>
      <c r="D24" s="29"/>
    </row>
  </sheetData>
  <sheetProtection password="C766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indexed="12"/>
  </sheetPr>
  <dimension ref="A1:N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51" t="s">
        <v>61</v>
      </c>
    </row>
    <row r="2" ht="12.75">
      <c r="B2" s="1" t="s">
        <v>35</v>
      </c>
    </row>
    <row r="3" spans="1:2" ht="12.75">
      <c r="A3" t="s">
        <v>14</v>
      </c>
      <c r="B3">
        <f>'ДИСПАН-1'!B3</f>
        <v>4</v>
      </c>
    </row>
    <row r="4" spans="1:14" ht="12.75">
      <c r="A4" t="s">
        <v>17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8</v>
      </c>
      <c r="J4" s="1" t="s">
        <v>19</v>
      </c>
      <c r="K4" s="1" t="s">
        <v>21</v>
      </c>
      <c r="L4">
        <f>IF(B3&gt;1,(B25-J25/B25)/(B3-1),0)</f>
        <v>4</v>
      </c>
      <c r="M4" s="2" t="s">
        <v>22</v>
      </c>
      <c r="N4" s="3"/>
    </row>
    <row r="5" spans="1:14" ht="12.75">
      <c r="A5">
        <v>1</v>
      </c>
      <c r="B5">
        <f>'ДИСПАН-1'!B5</f>
        <v>4</v>
      </c>
      <c r="C5">
        <f>'ДИСПАН-1'!C5</f>
        <v>7.75</v>
      </c>
      <c r="D5">
        <f>'ДИСПАН-1'!D5</f>
        <v>0.479</v>
      </c>
      <c r="E5">
        <f>B5*(D5^2)</f>
        <v>0.9177639999999999</v>
      </c>
      <c r="F5">
        <f>E5*(B5-1)</f>
        <v>2.7532919999999996</v>
      </c>
      <c r="G5">
        <f>B5*C5</f>
        <v>31</v>
      </c>
      <c r="H5">
        <f>IF(B5&gt;0,(G5^2)/B5,0)</f>
        <v>240.25</v>
      </c>
      <c r="I5">
        <f>F5+H5</f>
        <v>243.003292</v>
      </c>
      <c r="J5">
        <f>B5^2</f>
        <v>16</v>
      </c>
      <c r="K5" t="s">
        <v>9</v>
      </c>
      <c r="L5">
        <f>IF(B25&gt;0,I25-(G25^2)/B25,0)</f>
        <v>28.934076000000005</v>
      </c>
      <c r="M5" s="8" t="s">
        <v>23</v>
      </c>
      <c r="N5" s="9"/>
    </row>
    <row r="6" spans="1:14" ht="12.75">
      <c r="A6">
        <v>2</v>
      </c>
      <c r="B6">
        <f>'ДИСПАН-1'!B6</f>
        <v>4</v>
      </c>
      <c r="C6">
        <f>'ДИСПАН-1'!C6</f>
        <v>8.5</v>
      </c>
      <c r="D6">
        <f>'ДИСПАН-1'!D6</f>
        <v>0.645</v>
      </c>
      <c r="E6">
        <f aca="true" t="shared" si="0" ref="E6:E24">B6*(D6^2)</f>
        <v>1.6641000000000001</v>
      </c>
      <c r="F6">
        <f aca="true" t="shared" si="1" ref="F6:F24">E6*(B6-1)</f>
        <v>4.9923</v>
      </c>
      <c r="G6">
        <f aca="true" t="shared" si="2" ref="G6:G24">B6*C6</f>
        <v>34</v>
      </c>
      <c r="H6">
        <f>IF(B6&gt;0,(G6^2)/B6,0)</f>
        <v>289</v>
      </c>
      <c r="I6">
        <f aca="true" t="shared" si="3" ref="I6:I24">F6+H6</f>
        <v>293.9923</v>
      </c>
      <c r="J6">
        <f aca="true" t="shared" si="4" ref="J6:J24">B6^2</f>
        <v>16</v>
      </c>
      <c r="K6" t="s">
        <v>10</v>
      </c>
      <c r="L6">
        <f>IF(B25&gt;0,H25-(G25^2)/B25,0)</f>
        <v>13.6875</v>
      </c>
      <c r="M6" s="10" t="s">
        <v>12</v>
      </c>
      <c r="N6" s="3">
        <f>IF(B3&gt;1,L6/(B3-1),0)</f>
        <v>4.5625</v>
      </c>
    </row>
    <row r="7" spans="1:14" ht="12.75">
      <c r="A7">
        <v>3</v>
      </c>
      <c r="B7">
        <f>'ДИСПАН-1'!B7</f>
        <v>4</v>
      </c>
      <c r="C7">
        <f>'ДИСПАН-1'!C7</f>
        <v>9.25</v>
      </c>
      <c r="D7">
        <f>'ДИСПАН-1'!D7</f>
        <v>0.629</v>
      </c>
      <c r="E7">
        <f t="shared" si="0"/>
        <v>1.582564</v>
      </c>
      <c r="F7">
        <f t="shared" si="1"/>
        <v>4.747692000000001</v>
      </c>
      <c r="G7">
        <f t="shared" si="2"/>
        <v>37</v>
      </c>
      <c r="H7">
        <f>IF(B7&gt;0,(G7^2)/B7,0)</f>
        <v>342.25</v>
      </c>
      <c r="I7">
        <f t="shared" si="3"/>
        <v>346.99769200000003</v>
      </c>
      <c r="J7">
        <f t="shared" si="4"/>
        <v>16</v>
      </c>
      <c r="K7" t="s">
        <v>11</v>
      </c>
      <c r="L7">
        <f>IF(H25&gt;0,I25-H25,0)</f>
        <v>15.246576000000005</v>
      </c>
      <c r="M7" s="5" t="s">
        <v>13</v>
      </c>
      <c r="N7" s="4">
        <f>IF(B25&gt;0,L7/(B25-B3),0)</f>
        <v>1.2705480000000005</v>
      </c>
    </row>
    <row r="8" spans="1:14" ht="12.75">
      <c r="A8">
        <v>4</v>
      </c>
      <c r="B8">
        <f>'ДИСПАН-1'!B8</f>
        <v>4</v>
      </c>
      <c r="C8">
        <f>'ДИСПАН-1'!C8</f>
        <v>10.25</v>
      </c>
      <c r="D8">
        <f>'ДИСПАН-1'!D8</f>
        <v>0.479</v>
      </c>
      <c r="E8">
        <f t="shared" si="0"/>
        <v>0.9177639999999999</v>
      </c>
      <c r="F8">
        <f t="shared" si="1"/>
        <v>2.7532919999999996</v>
      </c>
      <c r="G8">
        <f t="shared" si="2"/>
        <v>41</v>
      </c>
      <c r="H8">
        <f>IF(B8&gt;0,(G8^2)/B8,0)</f>
        <v>420.25</v>
      </c>
      <c r="I8">
        <f t="shared" si="3"/>
        <v>423.003292</v>
      </c>
      <c r="J8">
        <f t="shared" si="4"/>
        <v>16</v>
      </c>
      <c r="K8" t="s">
        <v>20</v>
      </c>
      <c r="L8">
        <f>SUM(L6:L7)</f>
        <v>28.934076000000005</v>
      </c>
      <c r="M8" s="5"/>
      <c r="N8" s="4"/>
    </row>
    <row r="9" spans="1:14" ht="12.75">
      <c r="A9">
        <v>5</v>
      </c>
      <c r="B9">
        <f>'ДИСПАН-1'!B9</f>
        <v>0</v>
      </c>
      <c r="C9">
        <f>'ДИСПАН-1'!C9</f>
        <v>0</v>
      </c>
      <c r="D9">
        <f>'ДИСПАН-1'!D9</f>
        <v>0</v>
      </c>
      <c r="E9">
        <f t="shared" si="0"/>
        <v>0</v>
      </c>
      <c r="F9">
        <f t="shared" si="1"/>
        <v>0</v>
      </c>
      <c r="G9">
        <f t="shared" si="2"/>
        <v>0</v>
      </c>
      <c r="H9">
        <f>IF(B9&gt;0,(G9^2)/B9,0)</f>
        <v>0</v>
      </c>
      <c r="I9">
        <f t="shared" si="3"/>
        <v>0</v>
      </c>
      <c r="J9">
        <f t="shared" si="4"/>
        <v>0</v>
      </c>
      <c r="M9" s="5"/>
      <c r="N9" s="4"/>
    </row>
    <row r="10" spans="1:14" ht="12.75">
      <c r="A10">
        <v>6</v>
      </c>
      <c r="B10">
        <f>'ДИСПАН-1'!B10</f>
        <v>0</v>
      </c>
      <c r="C10">
        <f>'ДИСПАН-1'!C10</f>
        <v>0</v>
      </c>
      <c r="D10">
        <f>'ДИСПАН-1'!D10</f>
        <v>0</v>
      </c>
      <c r="E10">
        <f t="shared" si="0"/>
        <v>0</v>
      </c>
      <c r="F10">
        <f t="shared" si="1"/>
        <v>0</v>
      </c>
      <c r="G10">
        <f t="shared" si="2"/>
        <v>0</v>
      </c>
      <c r="H10">
        <f aca="true" t="shared" si="5" ref="H10:H24">IF(B10&gt;0,(G10^2)/B10,0)</f>
        <v>0</v>
      </c>
      <c r="I10">
        <f t="shared" si="3"/>
        <v>0</v>
      </c>
      <c r="J10">
        <f t="shared" si="4"/>
        <v>0</v>
      </c>
      <c r="K10" t="s">
        <v>24</v>
      </c>
      <c r="M10" s="5" t="s">
        <v>15</v>
      </c>
      <c r="N10" s="4">
        <f>IF(L4&gt;1,(N6-N7)/(N6+(L4-1)*N7),0)</f>
        <v>0.39310907479021123</v>
      </c>
    </row>
    <row r="11" spans="1:14" ht="12.75">
      <c r="A11">
        <v>7</v>
      </c>
      <c r="B11">
        <f>'ДИСПАН-1'!B11</f>
        <v>0</v>
      </c>
      <c r="C11">
        <f>'ДИСПАН-1'!C11</f>
        <v>0</v>
      </c>
      <c r="D11">
        <f>'ДИСПАН-1'!D11</f>
        <v>0</v>
      </c>
      <c r="E11">
        <f t="shared" si="0"/>
        <v>0</v>
      </c>
      <c r="F11">
        <f t="shared" si="1"/>
        <v>0</v>
      </c>
      <c r="G11">
        <f t="shared" si="2"/>
        <v>0</v>
      </c>
      <c r="H11">
        <f t="shared" si="5"/>
        <v>0</v>
      </c>
      <c r="I11">
        <f t="shared" si="3"/>
        <v>0</v>
      </c>
      <c r="J11">
        <f t="shared" si="4"/>
        <v>0</v>
      </c>
      <c r="K11" t="s">
        <v>25</v>
      </c>
      <c r="M11" s="6" t="s">
        <v>16</v>
      </c>
      <c r="N11" s="7">
        <f>IF(N7&gt;0,N6/N7,0)</f>
        <v>3.5909701955376723</v>
      </c>
    </row>
    <row r="12" spans="1:14" ht="12.75">
      <c r="A12">
        <v>8</v>
      </c>
      <c r="B12">
        <f>'ДИСПАН-1'!B12</f>
        <v>0</v>
      </c>
      <c r="C12">
        <f>'ДИСПАН-1'!C12</f>
        <v>0</v>
      </c>
      <c r="D12">
        <f>'ДИСПАН-1'!D12</f>
        <v>0</v>
      </c>
      <c r="E12">
        <f t="shared" si="0"/>
        <v>0</v>
      </c>
      <c r="F12">
        <f t="shared" si="1"/>
        <v>0</v>
      </c>
      <c r="G12">
        <f t="shared" si="2"/>
        <v>0</v>
      </c>
      <c r="H12">
        <f t="shared" si="5"/>
        <v>0</v>
      </c>
      <c r="I12">
        <f t="shared" si="3"/>
        <v>0</v>
      </c>
      <c r="J12">
        <f t="shared" si="4"/>
        <v>0</v>
      </c>
      <c r="M12" s="5"/>
      <c r="N12" s="4"/>
    </row>
    <row r="13" spans="1:14" ht="12.75">
      <c r="A13">
        <v>9</v>
      </c>
      <c r="B13">
        <f>'ДИСПАН-1'!B13</f>
        <v>0</v>
      </c>
      <c r="C13">
        <f>'ДИСПАН-1'!C13</f>
        <v>0</v>
      </c>
      <c r="D13">
        <f>'ДИСПАН-1'!D13</f>
        <v>0</v>
      </c>
      <c r="E13">
        <f t="shared" si="0"/>
        <v>0</v>
      </c>
      <c r="F13">
        <f t="shared" si="1"/>
        <v>0</v>
      </c>
      <c r="G13">
        <f t="shared" si="2"/>
        <v>0</v>
      </c>
      <c r="H13">
        <f t="shared" si="5"/>
        <v>0</v>
      </c>
      <c r="I13">
        <f t="shared" si="3"/>
        <v>0</v>
      </c>
      <c r="J13">
        <f t="shared" si="4"/>
        <v>0</v>
      </c>
      <c r="M13" s="8" t="s">
        <v>26</v>
      </c>
      <c r="N13" s="9"/>
    </row>
    <row r="14" spans="1:14" ht="12.75">
      <c r="A14">
        <v>10</v>
      </c>
      <c r="B14">
        <f>'ДИСПАН-1'!B14</f>
        <v>0</v>
      </c>
      <c r="C14">
        <f>'ДИСПАН-1'!C14</f>
        <v>0</v>
      </c>
      <c r="D14">
        <f>'ДИСПАН-1'!D14</f>
        <v>0</v>
      </c>
      <c r="E14">
        <f t="shared" si="0"/>
        <v>0</v>
      </c>
      <c r="F14">
        <f t="shared" si="1"/>
        <v>0</v>
      </c>
      <c r="G14">
        <f t="shared" si="2"/>
        <v>0</v>
      </c>
      <c r="H14">
        <f t="shared" si="5"/>
        <v>0</v>
      </c>
      <c r="I14">
        <f t="shared" si="3"/>
        <v>0</v>
      </c>
      <c r="J14">
        <f t="shared" si="4"/>
        <v>0</v>
      </c>
      <c r="M14" s="10"/>
      <c r="N14" s="3"/>
    </row>
    <row r="15" spans="1:14" ht="12.75">
      <c r="A15">
        <v>11</v>
      </c>
      <c r="B15">
        <f>'ДИСПАН-1'!B15</f>
        <v>0</v>
      </c>
      <c r="C15">
        <f>'ДИСПАН-1'!C15</f>
        <v>0</v>
      </c>
      <c r="D15">
        <f>'ДИСПАН-1'!D15</f>
        <v>0</v>
      </c>
      <c r="E15">
        <f t="shared" si="0"/>
        <v>0</v>
      </c>
      <c r="F15">
        <f t="shared" si="1"/>
        <v>0</v>
      </c>
      <c r="G15">
        <f t="shared" si="2"/>
        <v>0</v>
      </c>
      <c r="H15">
        <f t="shared" si="5"/>
        <v>0</v>
      </c>
      <c r="I15">
        <f t="shared" si="3"/>
        <v>0</v>
      </c>
      <c r="J15">
        <f t="shared" si="4"/>
        <v>0</v>
      </c>
      <c r="M15" s="5" t="s">
        <v>27</v>
      </c>
      <c r="N15" s="4">
        <f>IF(L5&gt;0,L6/L5,0)</f>
        <v>0.47305813394559404</v>
      </c>
    </row>
    <row r="16" spans="1:14" ht="12.75">
      <c r="A16">
        <v>12</v>
      </c>
      <c r="B16">
        <f>'ДИСПАН-1'!B16</f>
        <v>0</v>
      </c>
      <c r="C16">
        <f>'ДИСПАН-1'!C16</f>
        <v>0</v>
      </c>
      <c r="D16">
        <f>'ДИСПАН-1'!D16</f>
        <v>0</v>
      </c>
      <c r="E16">
        <f t="shared" si="0"/>
        <v>0</v>
      </c>
      <c r="F16">
        <f t="shared" si="1"/>
        <v>0</v>
      </c>
      <c r="G16">
        <f t="shared" si="2"/>
        <v>0</v>
      </c>
      <c r="H16">
        <f t="shared" si="5"/>
        <v>0</v>
      </c>
      <c r="I16">
        <f t="shared" si="3"/>
        <v>0</v>
      </c>
      <c r="J16">
        <f t="shared" si="4"/>
        <v>0</v>
      </c>
      <c r="M16" s="5" t="s">
        <v>28</v>
      </c>
      <c r="N16" s="4">
        <f>IF(B25&gt;0,(1-N15)*((B3-1)/(B25-B3)),0)</f>
        <v>0.1317354665136015</v>
      </c>
    </row>
    <row r="17" spans="1:14" ht="12.75">
      <c r="A17">
        <v>13</v>
      </c>
      <c r="B17">
        <f>'ДИСПАН-1'!B17</f>
        <v>0</v>
      </c>
      <c r="C17">
        <f>'ДИСПАН-1'!C17</f>
        <v>0</v>
      </c>
      <c r="D17">
        <f>'ДИСПАН-1'!D17</f>
        <v>0</v>
      </c>
      <c r="E17">
        <f t="shared" si="0"/>
        <v>0</v>
      </c>
      <c r="F17">
        <f t="shared" si="1"/>
        <v>0</v>
      </c>
      <c r="G17">
        <f t="shared" si="2"/>
        <v>0</v>
      </c>
      <c r="H17">
        <f t="shared" si="5"/>
        <v>0</v>
      </c>
      <c r="I17">
        <f t="shared" si="3"/>
        <v>0</v>
      </c>
      <c r="J17">
        <f t="shared" si="4"/>
        <v>0</v>
      </c>
      <c r="K17" t="s">
        <v>29</v>
      </c>
      <c r="M17" s="6" t="s">
        <v>30</v>
      </c>
      <c r="N17" s="7">
        <f>IF(N16&gt;0,N15/N16,0)</f>
        <v>3.5909701955376723</v>
      </c>
    </row>
    <row r="18" spans="1:14" ht="12.75">
      <c r="A18">
        <v>14</v>
      </c>
      <c r="B18">
        <f>'ДИСПАН-1'!B18</f>
        <v>0</v>
      </c>
      <c r="C18">
        <f>'ДИСПАН-1'!C18</f>
        <v>0</v>
      </c>
      <c r="D18">
        <f>'ДИСПАН-1'!D18</f>
        <v>0</v>
      </c>
      <c r="E18">
        <f t="shared" si="0"/>
        <v>0</v>
      </c>
      <c r="F18">
        <f t="shared" si="1"/>
        <v>0</v>
      </c>
      <c r="G18">
        <f t="shared" si="2"/>
        <v>0</v>
      </c>
      <c r="H18">
        <f t="shared" si="5"/>
        <v>0</v>
      </c>
      <c r="I18">
        <f t="shared" si="3"/>
        <v>0</v>
      </c>
      <c r="J18">
        <f t="shared" si="4"/>
        <v>0</v>
      </c>
      <c r="M18" s="5"/>
      <c r="N18" s="4"/>
    </row>
    <row r="19" spans="1:14" ht="12.75">
      <c r="A19">
        <v>15</v>
      </c>
      <c r="B19">
        <f>'ДИСПАН-1'!B19</f>
        <v>0</v>
      </c>
      <c r="C19">
        <f>'ДИСПАН-1'!C19</f>
        <v>0</v>
      </c>
      <c r="D19">
        <f>'ДИСПАН-1'!D19</f>
        <v>0</v>
      </c>
      <c r="E19">
        <f t="shared" si="0"/>
        <v>0</v>
      </c>
      <c r="F19">
        <f t="shared" si="1"/>
        <v>0</v>
      </c>
      <c r="G19">
        <f t="shared" si="2"/>
        <v>0</v>
      </c>
      <c r="H19">
        <f t="shared" si="5"/>
        <v>0</v>
      </c>
      <c r="I19">
        <f t="shared" si="3"/>
        <v>0</v>
      </c>
      <c r="J19">
        <f t="shared" si="4"/>
        <v>0</v>
      </c>
      <c r="K19" t="s">
        <v>31</v>
      </c>
      <c r="M19" s="11" t="s">
        <v>32</v>
      </c>
      <c r="N19" s="12"/>
    </row>
    <row r="20" spans="1:14" ht="12.75">
      <c r="A20">
        <v>16</v>
      </c>
      <c r="B20">
        <f>'ДИСПАН-1'!B20</f>
        <v>0</v>
      </c>
      <c r="C20">
        <f>'ДИСПАН-1'!C20</f>
        <v>0</v>
      </c>
      <c r="D20">
        <f>'ДИСПАН-1'!D20</f>
        <v>0</v>
      </c>
      <c r="E20">
        <f t="shared" si="0"/>
        <v>0</v>
      </c>
      <c r="F20">
        <f t="shared" si="1"/>
        <v>0</v>
      </c>
      <c r="G20">
        <f t="shared" si="2"/>
        <v>0</v>
      </c>
      <c r="H20">
        <f t="shared" si="5"/>
        <v>0</v>
      </c>
      <c r="I20">
        <f t="shared" si="3"/>
        <v>0</v>
      </c>
      <c r="J20">
        <f t="shared" si="4"/>
        <v>0</v>
      </c>
      <c r="M20" s="13"/>
      <c r="N20" s="14">
        <f>IF(B3&gt;1,B3-1,0)</f>
        <v>3</v>
      </c>
    </row>
    <row r="21" spans="1:14" ht="12.75">
      <c r="A21">
        <v>17</v>
      </c>
      <c r="B21">
        <f>'ДИСПАН-1'!B21</f>
        <v>0</v>
      </c>
      <c r="C21">
        <f>'ДИСПАН-1'!C21</f>
        <v>0</v>
      </c>
      <c r="D21">
        <f>'ДИСПАН-1'!D21</f>
        <v>0</v>
      </c>
      <c r="E21">
        <f t="shared" si="0"/>
        <v>0</v>
      </c>
      <c r="F21">
        <f t="shared" si="1"/>
        <v>0</v>
      </c>
      <c r="G21">
        <f t="shared" si="2"/>
        <v>0</v>
      </c>
      <c r="H21">
        <f t="shared" si="5"/>
        <v>0</v>
      </c>
      <c r="I21">
        <f t="shared" si="3"/>
        <v>0</v>
      </c>
      <c r="J21">
        <f t="shared" si="4"/>
        <v>0</v>
      </c>
      <c r="M21" s="13" t="s">
        <v>33</v>
      </c>
      <c r="N21" s="14"/>
    </row>
    <row r="22" spans="1:14" ht="12.75">
      <c r="A22">
        <v>18</v>
      </c>
      <c r="B22">
        <f>'ДИСПАН-1'!B22</f>
        <v>0</v>
      </c>
      <c r="C22">
        <f>'ДИСПАН-1'!C22</f>
        <v>0</v>
      </c>
      <c r="D22">
        <f>'ДИСПАН-1'!D22</f>
        <v>0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5"/>
        <v>0</v>
      </c>
      <c r="I22">
        <f t="shared" si="3"/>
        <v>0</v>
      </c>
      <c r="J22">
        <f t="shared" si="4"/>
        <v>0</v>
      </c>
      <c r="M22" s="13"/>
      <c r="N22" s="14">
        <f>IF(B25&gt;0,B25-B3,0)</f>
        <v>12</v>
      </c>
    </row>
    <row r="23" spans="1:14" ht="12.75">
      <c r="A23">
        <v>19</v>
      </c>
      <c r="B23">
        <f>'ДИСПАН-1'!B23</f>
        <v>0</v>
      </c>
      <c r="C23">
        <f>'ДИСПАН-1'!C23</f>
        <v>0</v>
      </c>
      <c r="D23">
        <f>'ДИСПАН-1'!D23</f>
        <v>0</v>
      </c>
      <c r="E23">
        <f t="shared" si="0"/>
        <v>0</v>
      </c>
      <c r="F23">
        <f t="shared" si="1"/>
        <v>0</v>
      </c>
      <c r="G23">
        <f t="shared" si="2"/>
        <v>0</v>
      </c>
      <c r="H23">
        <f t="shared" si="5"/>
        <v>0</v>
      </c>
      <c r="I23">
        <f t="shared" si="3"/>
        <v>0</v>
      </c>
      <c r="J23">
        <f t="shared" si="4"/>
        <v>0</v>
      </c>
      <c r="M23" s="13" t="s">
        <v>34</v>
      </c>
      <c r="N23" s="14"/>
    </row>
    <row r="24" spans="1:14" ht="12.75">
      <c r="A24">
        <v>20</v>
      </c>
      <c r="B24">
        <f>'ДИСПАН-1'!B24</f>
        <v>0</v>
      </c>
      <c r="C24">
        <f>'ДИСПАН-1'!C24</f>
        <v>0</v>
      </c>
      <c r="D24">
        <f>'ДИСПАН-1'!D24</f>
        <v>0</v>
      </c>
      <c r="E24">
        <f t="shared" si="0"/>
        <v>0</v>
      </c>
      <c r="F24">
        <f t="shared" si="1"/>
        <v>0</v>
      </c>
      <c r="G24">
        <f t="shared" si="2"/>
        <v>0</v>
      </c>
      <c r="H24">
        <f t="shared" si="5"/>
        <v>0</v>
      </c>
      <c r="I24">
        <f t="shared" si="3"/>
        <v>0</v>
      </c>
      <c r="J24">
        <f t="shared" si="4"/>
        <v>0</v>
      </c>
      <c r="M24" s="15"/>
      <c r="N24" s="16">
        <f>IF(B25&gt;0,B25-1,0)</f>
        <v>15</v>
      </c>
    </row>
    <row r="25" spans="1:10" ht="12.75">
      <c r="A25" t="s">
        <v>18</v>
      </c>
      <c r="B25">
        <f>SUM(B5:B24)</f>
        <v>16</v>
      </c>
      <c r="G25">
        <f>SUM(G5:G24)</f>
        <v>143</v>
      </c>
      <c r="H25">
        <f>SUM(H5:H24)</f>
        <v>1291.75</v>
      </c>
      <c r="I25">
        <f>SUM(I5:I24)</f>
        <v>1306.996576</v>
      </c>
      <c r="J25">
        <f>SUM(J5:J24)</f>
        <v>64</v>
      </c>
    </row>
    <row r="28" ht="12.75">
      <c r="H28" t="s">
        <v>7</v>
      </c>
    </row>
  </sheetData>
  <sheetProtection password="C766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57"/>
  </sheetPr>
  <dimension ref="A2:N27"/>
  <sheetViews>
    <sheetView zoomScalePageLayoutView="0" workbookViewId="0" topLeftCell="A1">
      <selection activeCell="B3" sqref="B3"/>
    </sheetView>
  </sheetViews>
  <sheetFormatPr defaultColWidth="9.00390625" defaultRowHeight="12.75"/>
  <sheetData>
    <row r="2" spans="1:6" ht="12.75">
      <c r="A2" s="52"/>
      <c r="B2" s="53"/>
      <c r="C2" s="53"/>
      <c r="D2" s="53"/>
      <c r="E2" s="54"/>
      <c r="F2" s="60"/>
    </row>
    <row r="3" spans="1:6" ht="12.75">
      <c r="A3" s="57" t="s">
        <v>14</v>
      </c>
      <c r="B3" s="40">
        <v>4</v>
      </c>
      <c r="C3" s="55"/>
      <c r="D3" s="55"/>
      <c r="E3" s="56"/>
      <c r="F3" s="60"/>
    </row>
    <row r="4" spans="1:6" ht="12.75">
      <c r="A4" s="57" t="s">
        <v>17</v>
      </c>
      <c r="B4" s="58" t="s">
        <v>0</v>
      </c>
      <c r="C4" s="58" t="s">
        <v>51</v>
      </c>
      <c r="D4" s="58" t="s">
        <v>52</v>
      </c>
      <c r="E4" s="59" t="s">
        <v>53</v>
      </c>
      <c r="F4" s="61"/>
    </row>
    <row r="5" spans="1:6" ht="12.75">
      <c r="A5" s="5">
        <v>1</v>
      </c>
      <c r="B5" s="21">
        <v>4</v>
      </c>
      <c r="C5" s="22">
        <v>7</v>
      </c>
      <c r="D5" s="22">
        <v>9</v>
      </c>
      <c r="E5" s="23">
        <v>0.486</v>
      </c>
      <c r="F5" s="41"/>
    </row>
    <row r="6" spans="1:6" ht="12.75">
      <c r="A6" s="5">
        <v>2</v>
      </c>
      <c r="B6" s="24">
        <v>4</v>
      </c>
      <c r="C6" s="25">
        <v>7</v>
      </c>
      <c r="D6" s="25">
        <v>10</v>
      </c>
      <c r="E6" s="26">
        <v>0.486</v>
      </c>
      <c r="F6" s="41"/>
    </row>
    <row r="7" spans="1:6" ht="12.75">
      <c r="A7" s="5">
        <v>3</v>
      </c>
      <c r="B7" s="24">
        <v>4</v>
      </c>
      <c r="C7" s="25">
        <v>8</v>
      </c>
      <c r="D7" s="25">
        <v>11</v>
      </c>
      <c r="E7" s="26">
        <v>0.486</v>
      </c>
      <c r="F7" s="41"/>
    </row>
    <row r="8" spans="1:6" ht="12.75">
      <c r="A8" s="5">
        <v>4</v>
      </c>
      <c r="B8" s="24">
        <v>4</v>
      </c>
      <c r="C8" s="25">
        <v>9</v>
      </c>
      <c r="D8" s="25">
        <v>11</v>
      </c>
      <c r="E8" s="26">
        <v>0.486</v>
      </c>
      <c r="F8" s="41"/>
    </row>
    <row r="9" spans="1:6" ht="12.75">
      <c r="A9" s="5">
        <v>5</v>
      </c>
      <c r="B9" s="24"/>
      <c r="C9" s="25"/>
      <c r="D9" s="25"/>
      <c r="E9" s="26"/>
      <c r="F9" s="41"/>
    </row>
    <row r="10" spans="1:6" ht="12.75">
      <c r="A10" s="5">
        <v>6</v>
      </c>
      <c r="B10" s="24"/>
      <c r="C10" s="25"/>
      <c r="D10" s="25"/>
      <c r="E10" s="26"/>
      <c r="F10" s="41"/>
    </row>
    <row r="11" spans="1:6" ht="12.75">
      <c r="A11" s="5">
        <v>7</v>
      </c>
      <c r="B11" s="24"/>
      <c r="C11" s="25"/>
      <c r="D11" s="25"/>
      <c r="E11" s="26"/>
      <c r="F11" s="41"/>
    </row>
    <row r="12" spans="1:6" ht="12.75">
      <c r="A12" s="5">
        <v>8</v>
      </c>
      <c r="B12" s="24"/>
      <c r="C12" s="25"/>
      <c r="D12" s="25"/>
      <c r="E12" s="26"/>
      <c r="F12" s="41"/>
    </row>
    <row r="13" spans="1:6" ht="12.75">
      <c r="A13" s="5">
        <v>9</v>
      </c>
      <c r="B13" s="24"/>
      <c r="C13" s="25"/>
      <c r="D13" s="25"/>
      <c r="E13" s="26"/>
      <c r="F13" s="41"/>
    </row>
    <row r="14" spans="1:6" ht="12.75">
      <c r="A14" s="5">
        <v>10</v>
      </c>
      <c r="B14" s="24"/>
      <c r="C14" s="25"/>
      <c r="D14" s="25"/>
      <c r="E14" s="26"/>
      <c r="F14" s="41"/>
    </row>
    <row r="15" spans="1:6" ht="12.75">
      <c r="A15" s="5">
        <v>11</v>
      </c>
      <c r="B15" s="24"/>
      <c r="C15" s="25"/>
      <c r="D15" s="25"/>
      <c r="E15" s="26"/>
      <c r="F15" s="41"/>
    </row>
    <row r="16" spans="1:6" ht="12.75">
      <c r="A16" s="5">
        <v>12</v>
      </c>
      <c r="B16" s="24"/>
      <c r="C16" s="25"/>
      <c r="D16" s="25"/>
      <c r="E16" s="26"/>
      <c r="F16" s="41"/>
    </row>
    <row r="17" spans="1:6" ht="12.75">
      <c r="A17" s="5">
        <v>13</v>
      </c>
      <c r="B17" s="24"/>
      <c r="C17" s="25"/>
      <c r="D17" s="25"/>
      <c r="E17" s="26"/>
      <c r="F17" s="41"/>
    </row>
    <row r="18" spans="1:6" ht="12.75">
      <c r="A18" s="5">
        <v>14</v>
      </c>
      <c r="B18" s="24"/>
      <c r="C18" s="25"/>
      <c r="D18" s="25"/>
      <c r="E18" s="26"/>
      <c r="F18" s="41"/>
    </row>
    <row r="19" spans="1:6" ht="13.5" thickBot="1">
      <c r="A19" s="5">
        <v>15</v>
      </c>
      <c r="B19" s="24"/>
      <c r="C19" s="25"/>
      <c r="D19" s="25"/>
      <c r="E19" s="26"/>
      <c r="F19" s="41"/>
    </row>
    <row r="20" spans="1:14" ht="13.5" thickBot="1">
      <c r="A20" s="5">
        <v>16</v>
      </c>
      <c r="B20" s="24"/>
      <c r="C20" s="25"/>
      <c r="D20" s="25"/>
      <c r="E20" s="26"/>
      <c r="F20" s="41"/>
      <c r="G20" s="42" t="s">
        <v>0</v>
      </c>
      <c r="H20" s="43" t="s">
        <v>53</v>
      </c>
      <c r="I20" s="42" t="s">
        <v>0</v>
      </c>
      <c r="J20" s="43" t="s">
        <v>53</v>
      </c>
      <c r="K20" s="42" t="s">
        <v>0</v>
      </c>
      <c r="L20" s="43" t="s">
        <v>53</v>
      </c>
      <c r="M20" s="44" t="s">
        <v>0</v>
      </c>
      <c r="N20" s="43" t="s">
        <v>53</v>
      </c>
    </row>
    <row r="21" spans="1:14" ht="12.75">
      <c r="A21" s="5">
        <v>17</v>
      </c>
      <c r="B21" s="24"/>
      <c r="C21" s="25"/>
      <c r="D21" s="25"/>
      <c r="E21" s="26"/>
      <c r="F21" s="41"/>
      <c r="G21" s="45">
        <v>2</v>
      </c>
      <c r="H21" s="46">
        <v>0.866</v>
      </c>
      <c r="I21" s="45">
        <v>8</v>
      </c>
      <c r="J21" s="46">
        <v>0.351</v>
      </c>
      <c r="K21" s="45">
        <v>14</v>
      </c>
      <c r="L21" s="46">
        <v>0.293</v>
      </c>
      <c r="M21" s="47" t="s">
        <v>54</v>
      </c>
      <c r="N21" s="46">
        <v>0.268</v>
      </c>
    </row>
    <row r="22" spans="1:14" ht="12.75">
      <c r="A22" s="5">
        <v>18</v>
      </c>
      <c r="B22" s="24"/>
      <c r="C22" s="25"/>
      <c r="D22" s="25"/>
      <c r="E22" s="26"/>
      <c r="F22" s="41"/>
      <c r="G22" s="45">
        <v>3</v>
      </c>
      <c r="H22" s="46">
        <v>0.591</v>
      </c>
      <c r="I22" s="45">
        <v>9</v>
      </c>
      <c r="J22" s="46">
        <v>0.337</v>
      </c>
      <c r="K22" s="45">
        <v>15</v>
      </c>
      <c r="L22" s="46">
        <v>0.288</v>
      </c>
      <c r="M22" s="47" t="s">
        <v>55</v>
      </c>
      <c r="N22" s="46">
        <v>0.26</v>
      </c>
    </row>
    <row r="23" spans="1:14" ht="12.75">
      <c r="A23" s="5">
        <v>19</v>
      </c>
      <c r="B23" s="24"/>
      <c r="C23" s="25"/>
      <c r="D23" s="25"/>
      <c r="E23" s="26"/>
      <c r="F23" s="41"/>
      <c r="G23" s="45">
        <v>4</v>
      </c>
      <c r="H23" s="46">
        <v>0.486</v>
      </c>
      <c r="I23" s="45">
        <v>10</v>
      </c>
      <c r="J23" s="46">
        <v>0.325</v>
      </c>
      <c r="K23" s="45">
        <v>16</v>
      </c>
      <c r="L23" s="46">
        <v>0.283</v>
      </c>
      <c r="M23" s="47" t="s">
        <v>56</v>
      </c>
      <c r="N23" s="46">
        <v>0.25</v>
      </c>
    </row>
    <row r="24" spans="1:14" ht="12.75">
      <c r="A24" s="6">
        <v>20</v>
      </c>
      <c r="B24" s="27"/>
      <c r="C24" s="28"/>
      <c r="D24" s="28"/>
      <c r="E24" s="29"/>
      <c r="F24" s="41"/>
      <c r="G24" s="45">
        <v>5</v>
      </c>
      <c r="H24" s="46">
        <v>0.43</v>
      </c>
      <c r="I24" s="45">
        <v>11</v>
      </c>
      <c r="J24" s="46">
        <v>0.315</v>
      </c>
      <c r="K24" s="45">
        <v>17</v>
      </c>
      <c r="L24" s="46">
        <v>0.279</v>
      </c>
      <c r="M24" s="47" t="s">
        <v>57</v>
      </c>
      <c r="N24" s="46">
        <v>0.24</v>
      </c>
    </row>
    <row r="25" spans="7:14" ht="12.75">
      <c r="G25" s="45">
        <v>6</v>
      </c>
      <c r="H25" s="46">
        <v>0.395</v>
      </c>
      <c r="I25" s="45">
        <v>12</v>
      </c>
      <c r="J25" s="46">
        <v>0.307</v>
      </c>
      <c r="K25" s="45">
        <v>18</v>
      </c>
      <c r="L25" s="46">
        <v>0.275</v>
      </c>
      <c r="M25" s="47" t="s">
        <v>58</v>
      </c>
      <c r="N25" s="46">
        <v>0.23</v>
      </c>
    </row>
    <row r="26" spans="7:14" ht="12.75">
      <c r="G26" s="45">
        <v>7</v>
      </c>
      <c r="H26" s="46">
        <v>0.37</v>
      </c>
      <c r="I26" s="45">
        <v>13</v>
      </c>
      <c r="J26" s="46">
        <v>0.3</v>
      </c>
      <c r="K26" s="45">
        <v>19</v>
      </c>
      <c r="L26" s="46">
        <v>0.271</v>
      </c>
      <c r="M26" s="47" t="s">
        <v>59</v>
      </c>
      <c r="N26" s="46">
        <v>0.225</v>
      </c>
    </row>
    <row r="27" spans="7:14" ht="13.5" thickBot="1">
      <c r="G27" s="48"/>
      <c r="H27" s="49"/>
      <c r="I27" s="48"/>
      <c r="J27" s="49"/>
      <c r="K27" s="48"/>
      <c r="L27" s="49"/>
      <c r="M27" s="50" t="s">
        <v>60</v>
      </c>
      <c r="N27" s="49">
        <v>0.22</v>
      </c>
    </row>
  </sheetData>
  <sheetProtection password="C766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57"/>
  </sheetPr>
  <dimension ref="A1:N2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51" t="s">
        <v>61</v>
      </c>
    </row>
    <row r="2" ht="12.75">
      <c r="B2" s="1" t="s">
        <v>62</v>
      </c>
    </row>
    <row r="3" spans="1:2" ht="12.75">
      <c r="A3" t="s">
        <v>14</v>
      </c>
      <c r="B3">
        <f>'ДИСПАН-2'!B3</f>
        <v>4</v>
      </c>
    </row>
    <row r="4" spans="1:14" ht="12.75">
      <c r="A4" t="s">
        <v>17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8</v>
      </c>
      <c r="J4" s="1" t="s">
        <v>19</v>
      </c>
      <c r="K4" s="1" t="s">
        <v>21</v>
      </c>
      <c r="L4">
        <f>IF(B3&gt;1,(B25-J25/B25)/(B3-1),0)</f>
        <v>4</v>
      </c>
      <c r="M4" s="2" t="s">
        <v>22</v>
      </c>
      <c r="N4" s="3"/>
    </row>
    <row r="5" spans="1:14" ht="12.75">
      <c r="A5">
        <v>1</v>
      </c>
      <c r="B5">
        <f>'ДИСПАН-2'!B5</f>
        <v>4</v>
      </c>
      <c r="C5">
        <f>('ДИСПАН-2'!C5+'ДИСПАН-2'!D5)/2</f>
        <v>8</v>
      </c>
      <c r="D5">
        <f>IF('ДИСПАН-2'!B5&gt;0,(('ДИСПАН-2'!D5-'ДИСПАН-2'!C5)/'ДИСПАН-2'!E5)/SQRT('ДИСПАН-2'!B5),0)</f>
        <v>2.05761316872428</v>
      </c>
      <c r="E5">
        <f>IF('ДИСПАН-2'!E5&gt;0,(('ДИСПАН-2'!D5-'ДИСПАН-2'!C5)*'ДИСПАН-2'!E5)^2,0)</f>
        <v>0.944784</v>
      </c>
      <c r="F5">
        <f aca="true" t="shared" si="0" ref="F5:F24">E5*(B5-1)</f>
        <v>2.834352</v>
      </c>
      <c r="G5">
        <f aca="true" t="shared" si="1" ref="G5:G24">B5*C5</f>
        <v>32</v>
      </c>
      <c r="H5">
        <f aca="true" t="shared" si="2" ref="H5:H24">IF(B5&gt;0,(G5^2)/B5,0)</f>
        <v>256</v>
      </c>
      <c r="I5">
        <f aca="true" t="shared" si="3" ref="I5:I24">F5+H5</f>
        <v>258.834352</v>
      </c>
      <c r="J5">
        <f aca="true" t="shared" si="4" ref="J5:J24">B5^2</f>
        <v>16</v>
      </c>
      <c r="K5" t="s">
        <v>9</v>
      </c>
      <c r="L5">
        <f>IF(B25&gt;0,I25-(G25^2)/B25,0)</f>
        <v>28.423287999999957</v>
      </c>
      <c r="M5" s="8" t="s">
        <v>23</v>
      </c>
      <c r="N5" s="9"/>
    </row>
    <row r="6" spans="1:14" ht="12.75">
      <c r="A6">
        <v>2</v>
      </c>
      <c r="B6">
        <f>'ДИСПАН-2'!B6</f>
        <v>4</v>
      </c>
      <c r="C6">
        <f>('ДИСПАН-2'!C6+'ДИСПАН-2'!D6)/2</f>
        <v>8.5</v>
      </c>
      <c r="D6">
        <f>IF('ДИСПАН-2'!B6&gt;0,(('ДИСПАН-2'!D6-'ДИСПАН-2'!C6)/'ДИСПАН-2'!E6)/SQRT('ДИСПАН-2'!B6),0)</f>
        <v>3.0864197530864197</v>
      </c>
      <c r="E6">
        <f>IF('ДИСПАН-2'!E6&gt;0,(('ДИСПАН-2'!D6-'ДИСПАН-2'!C6)*'ДИСПАН-2'!E6)^2,0)</f>
        <v>2.1257639999999998</v>
      </c>
      <c r="F6">
        <f t="shared" si="0"/>
        <v>6.377291999999999</v>
      </c>
      <c r="G6">
        <f t="shared" si="1"/>
        <v>34</v>
      </c>
      <c r="H6">
        <f t="shared" si="2"/>
        <v>289</v>
      </c>
      <c r="I6">
        <f t="shared" si="3"/>
        <v>295.377292</v>
      </c>
      <c r="J6">
        <f t="shared" si="4"/>
        <v>16</v>
      </c>
      <c r="K6" t="s">
        <v>10</v>
      </c>
      <c r="L6">
        <f>IF(B25&gt;0,H25-(G25^2)/B25,0)</f>
        <v>10</v>
      </c>
      <c r="M6" s="10" t="s">
        <v>12</v>
      </c>
      <c r="N6" s="3">
        <f>IF(B3&gt;1,L6/(B3-1),0)</f>
        <v>3.3333333333333335</v>
      </c>
    </row>
    <row r="7" spans="1:14" ht="12.75">
      <c r="A7">
        <v>3</v>
      </c>
      <c r="B7">
        <f>'ДИСПАН-2'!B7</f>
        <v>4</v>
      </c>
      <c r="C7">
        <f>('ДИСПАН-2'!C7+'ДИСПАН-2'!D7)/2</f>
        <v>9.5</v>
      </c>
      <c r="D7">
        <f>IF('ДИСПАН-2'!B7&gt;0,(('ДИСПАН-2'!D7-'ДИСПАН-2'!C7)/'ДИСПАН-2'!E7)/SQRT('ДИСПАН-2'!B7),0)</f>
        <v>3.0864197530864197</v>
      </c>
      <c r="E7">
        <f>IF('ДИСПАН-2'!E7&gt;0,(('ДИСПАН-2'!D7-'ДИСПАН-2'!C7)*'ДИСПАН-2'!E7)^2,0)</f>
        <v>2.1257639999999998</v>
      </c>
      <c r="F7">
        <f t="shared" si="0"/>
        <v>6.377291999999999</v>
      </c>
      <c r="G7">
        <f t="shared" si="1"/>
        <v>38</v>
      </c>
      <c r="H7">
        <f t="shared" si="2"/>
        <v>361</v>
      </c>
      <c r="I7">
        <f t="shared" si="3"/>
        <v>367.377292</v>
      </c>
      <c r="J7">
        <f t="shared" si="4"/>
        <v>16</v>
      </c>
      <c r="K7" t="s">
        <v>11</v>
      </c>
      <c r="L7">
        <f>IF(H25&gt;0,I25-H25,0)</f>
        <v>18.423287999999957</v>
      </c>
      <c r="M7" s="5" t="s">
        <v>13</v>
      </c>
      <c r="N7" s="4">
        <f>IF(B25&gt;0,L7/(B25-B3),0)</f>
        <v>1.5352739999999965</v>
      </c>
    </row>
    <row r="8" spans="1:14" ht="12.75">
      <c r="A8">
        <v>4</v>
      </c>
      <c r="B8">
        <f>'ДИСПАН-2'!B8</f>
        <v>4</v>
      </c>
      <c r="C8">
        <f>('ДИСПАН-2'!C8+'ДИСПАН-2'!D8)/2</f>
        <v>10</v>
      </c>
      <c r="D8">
        <f>IF('ДИСПАН-2'!B8&gt;0,(('ДИСПАН-2'!D8-'ДИСПАН-2'!C8)/'ДИСПАН-2'!E8)/SQRT('ДИСПАН-2'!B8),0)</f>
        <v>2.05761316872428</v>
      </c>
      <c r="E8">
        <f>IF('ДИСПАН-2'!E8&gt;0,(('ДИСПАН-2'!D8-'ДИСПАН-2'!C8)*'ДИСПАН-2'!E8)^2,0)</f>
        <v>0.944784</v>
      </c>
      <c r="F8">
        <f t="shared" si="0"/>
        <v>2.834352</v>
      </c>
      <c r="G8">
        <f t="shared" si="1"/>
        <v>40</v>
      </c>
      <c r="H8">
        <f t="shared" si="2"/>
        <v>400</v>
      </c>
      <c r="I8">
        <f t="shared" si="3"/>
        <v>402.834352</v>
      </c>
      <c r="J8">
        <f t="shared" si="4"/>
        <v>16</v>
      </c>
      <c r="K8" t="s">
        <v>20</v>
      </c>
      <c r="L8">
        <f>SUM(L6:L7)</f>
        <v>28.423287999999957</v>
      </c>
      <c r="M8" s="5"/>
      <c r="N8" s="4"/>
    </row>
    <row r="9" spans="1:14" ht="12.75">
      <c r="A9">
        <v>5</v>
      </c>
      <c r="B9">
        <f>'ДИСПАН-2'!B9</f>
        <v>0</v>
      </c>
      <c r="C9">
        <f>('ДИСПАН-2'!C9+'ДИСПАН-2'!D9)/2</f>
        <v>0</v>
      </c>
      <c r="D9">
        <f>IF('ДИСПАН-2'!B9&gt;0,(('ДИСПАН-2'!D9-'ДИСПАН-2'!C9)/'ДИСПАН-2'!E9)/SQRT('ДИСПАН-2'!B9),0)</f>
        <v>0</v>
      </c>
      <c r="E9">
        <f>IF('ДИСПАН-2'!E9&gt;0,(('ДИСПАН-2'!D9-'ДИСПАН-2'!C9)*'ДИСПАН-2'!E9)^2,0)</f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  <c r="J9">
        <f t="shared" si="4"/>
        <v>0</v>
      </c>
      <c r="M9" s="5"/>
      <c r="N9" s="4"/>
    </row>
    <row r="10" spans="1:14" ht="12.75">
      <c r="A10">
        <v>6</v>
      </c>
      <c r="B10">
        <f>'ДИСПАН-2'!B10</f>
        <v>0</v>
      </c>
      <c r="C10">
        <f>('ДИСПАН-2'!C10+'ДИСПАН-2'!D10)/2</f>
        <v>0</v>
      </c>
      <c r="D10">
        <f>IF('ДИСПАН-2'!B10&gt;0,(('ДИСПАН-2'!D10-'ДИСПАН-2'!C10)/'ДИСПАН-2'!E10)/SQRT('ДИСПАН-2'!B10),0)</f>
        <v>0</v>
      </c>
      <c r="E10">
        <f>IF('ДИСПАН-2'!E10&gt;0,(('ДИСПАН-2'!D10-'ДИСПАН-2'!C10)*'ДИСПАН-2'!E10)^2,0)</f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  <c r="J10">
        <f t="shared" si="4"/>
        <v>0</v>
      </c>
      <c r="K10" t="s">
        <v>24</v>
      </c>
      <c r="M10" s="5" t="s">
        <v>15</v>
      </c>
      <c r="N10" s="4">
        <f>IF(L4&gt;1,(N6-N7)/(N6+(L4-1)*N7),0)</f>
        <v>0.22647992863724536</v>
      </c>
    </row>
    <row r="11" spans="1:14" ht="12.75">
      <c r="A11">
        <v>7</v>
      </c>
      <c r="B11">
        <f>'ДИСПАН-2'!B11</f>
        <v>0</v>
      </c>
      <c r="C11">
        <f>('ДИСПАН-2'!C11+'ДИСПАН-2'!D11)/2</f>
        <v>0</v>
      </c>
      <c r="D11">
        <f>IF('ДИСПАН-2'!B11&gt;0,(('ДИСПАН-2'!D11-'ДИСПАН-2'!C11)/'ДИСПАН-2'!E11)/SQRT('ДИСПАН-2'!B11),0)</f>
        <v>0</v>
      </c>
      <c r="E11">
        <f>IF('ДИСПАН-2'!E11&gt;0,(('ДИСПАН-2'!D11-'ДИСПАН-2'!C11)*'ДИСПАН-2'!E11)^2,0)</f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  <c r="J11">
        <f t="shared" si="4"/>
        <v>0</v>
      </c>
      <c r="K11" t="s">
        <v>25</v>
      </c>
      <c r="M11" s="6" t="s">
        <v>16</v>
      </c>
      <c r="N11" s="7">
        <f>IF(N7&gt;0,N6/N7,0)</f>
        <v>2.1711651036449138</v>
      </c>
    </row>
    <row r="12" spans="1:14" ht="12.75">
      <c r="A12">
        <v>8</v>
      </c>
      <c r="B12">
        <f>'ДИСПАН-2'!B12</f>
        <v>0</v>
      </c>
      <c r="C12">
        <f>('ДИСПАН-2'!C12+'ДИСПАН-2'!D12)/2</f>
        <v>0</v>
      </c>
      <c r="D12">
        <f>IF('ДИСПАН-2'!B12&gt;0,(('ДИСПАН-2'!D12-'ДИСПАН-2'!C12)/'ДИСПАН-2'!E12)/SQRT('ДИСПАН-2'!B12),0)</f>
        <v>0</v>
      </c>
      <c r="E12">
        <f>IF('ДИСПАН-2'!E12&gt;0,(('ДИСПАН-2'!D12-'ДИСПАН-2'!C12)*'ДИСПАН-2'!E12)^2,0)</f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0</v>
      </c>
      <c r="J12">
        <f t="shared" si="4"/>
        <v>0</v>
      </c>
      <c r="M12" s="5"/>
      <c r="N12" s="4"/>
    </row>
    <row r="13" spans="1:14" ht="12.75">
      <c r="A13">
        <v>9</v>
      </c>
      <c r="B13">
        <f>'ДИСПАН-2'!B13</f>
        <v>0</v>
      </c>
      <c r="C13">
        <f>('ДИСПАН-2'!C13+'ДИСПАН-2'!D13)/2</f>
        <v>0</v>
      </c>
      <c r="D13">
        <f>IF('ДИСПАН-2'!B13&gt;0,(('ДИСПАН-2'!D13-'ДИСПАН-2'!C13)/'ДИСПАН-2'!E13)/SQRT('ДИСПАН-2'!B13),0)</f>
        <v>0</v>
      </c>
      <c r="E13">
        <f>IF('ДИСПАН-2'!E13&gt;0,(('ДИСПАН-2'!D13-'ДИСПАН-2'!C13)*'ДИСПАН-2'!E13)^2,0)</f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  <c r="J13">
        <f t="shared" si="4"/>
        <v>0</v>
      </c>
      <c r="M13" s="8" t="s">
        <v>26</v>
      </c>
      <c r="N13" s="9"/>
    </row>
    <row r="14" spans="1:14" ht="12.75">
      <c r="A14">
        <v>10</v>
      </c>
      <c r="B14">
        <f>'ДИСПАН-2'!B14</f>
        <v>0</v>
      </c>
      <c r="C14">
        <f>('ДИСПАН-2'!C14+'ДИСПАН-2'!D14)/2</f>
        <v>0</v>
      </c>
      <c r="D14">
        <f>IF('ДИСПАН-2'!B14&gt;0,(('ДИСПАН-2'!D14-'ДИСПАН-2'!C14)/'ДИСПАН-2'!E14)/SQRT('ДИСПАН-2'!B14),0)</f>
        <v>0</v>
      </c>
      <c r="E14">
        <f>IF('ДИСПАН-2'!E14&gt;0,(('ДИСПАН-2'!D14-'ДИСПАН-2'!C14)*'ДИСПАН-2'!E14)^2,0)</f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0</v>
      </c>
      <c r="J14">
        <f t="shared" si="4"/>
        <v>0</v>
      </c>
      <c r="M14" s="10"/>
      <c r="N14" s="3"/>
    </row>
    <row r="15" spans="1:14" ht="12.75">
      <c r="A15">
        <v>11</v>
      </c>
      <c r="B15">
        <f>'ДИСПАН-2'!B15</f>
        <v>0</v>
      </c>
      <c r="C15">
        <f>('ДИСПАН-2'!C15+'ДИСПАН-2'!D15)/2</f>
        <v>0</v>
      </c>
      <c r="D15">
        <f>IF('ДИСПАН-2'!B15&gt;0,(('ДИСПАН-2'!D15-'ДИСПАН-2'!C15)/'ДИСПАН-2'!E15)/SQRT('ДИСПАН-2'!B15),0)</f>
        <v>0</v>
      </c>
      <c r="E15">
        <f>IF('ДИСПАН-2'!E15&gt;0,(('ДИСПАН-2'!D15-'ДИСПАН-2'!C15)*'ДИСПАН-2'!E15)^2,0)</f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  <c r="J15">
        <f t="shared" si="4"/>
        <v>0</v>
      </c>
      <c r="M15" s="5" t="s">
        <v>27</v>
      </c>
      <c r="N15" s="4">
        <f>IF(L5&gt;0,L6/L5,0)</f>
        <v>0.35182418022855116</v>
      </c>
    </row>
    <row r="16" spans="1:14" ht="12.75">
      <c r="A16">
        <v>12</v>
      </c>
      <c r="B16">
        <f>'ДИСПАН-2'!B16</f>
        <v>0</v>
      </c>
      <c r="C16">
        <f>('ДИСПАН-2'!C16+'ДИСПАН-2'!D16)/2</f>
        <v>0</v>
      </c>
      <c r="D16">
        <f>IF('ДИСПАН-2'!B16&gt;0,(('ДИСПАН-2'!D16-'ДИСПАН-2'!C16)/'ДИСПАН-2'!E16)/SQRT('ДИСПАН-2'!B16),0)</f>
        <v>0</v>
      </c>
      <c r="E16">
        <f>IF('ДИСПАН-2'!E16&gt;0,(('ДИСПАН-2'!D16-'ДИСПАН-2'!C16)*'ДИСПАН-2'!E16)^2,0)</f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  <c r="J16">
        <f t="shared" si="4"/>
        <v>0</v>
      </c>
      <c r="M16" s="5" t="s">
        <v>28</v>
      </c>
      <c r="N16" s="4">
        <f>IF(B25&gt;0,(1-N15)*((B3-1)/(B25-B3)),0)</f>
        <v>0.16204395494286222</v>
      </c>
    </row>
    <row r="17" spans="1:14" ht="12.75">
      <c r="A17">
        <v>13</v>
      </c>
      <c r="B17">
        <f>'ДИСПАН-2'!B17</f>
        <v>0</v>
      </c>
      <c r="C17">
        <f>('ДИСПАН-2'!C17+'ДИСПАН-2'!D17)/2</f>
        <v>0</v>
      </c>
      <c r="D17">
        <f>IF('ДИСПАН-2'!B17&gt;0,(('ДИСПАН-2'!D17-'ДИСПАН-2'!C17)/'ДИСПАН-2'!E17)/SQRT('ДИСПАН-2'!B17),0)</f>
        <v>0</v>
      </c>
      <c r="E17">
        <f>IF('ДИСПАН-2'!E17&gt;0,(('ДИСПАН-2'!D17-'ДИСПАН-2'!C17)*'ДИСПАН-2'!E17)^2,0)</f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  <c r="J17">
        <f t="shared" si="4"/>
        <v>0</v>
      </c>
      <c r="K17" t="s">
        <v>29</v>
      </c>
      <c r="M17" s="6" t="s">
        <v>30</v>
      </c>
      <c r="N17" s="7">
        <f>IF(N16&gt;0,N15/N16,0)</f>
        <v>2.1711651036449138</v>
      </c>
    </row>
    <row r="18" spans="1:14" ht="12.75">
      <c r="A18">
        <v>14</v>
      </c>
      <c r="B18">
        <f>'ДИСПАН-2'!B18</f>
        <v>0</v>
      </c>
      <c r="C18">
        <f>('ДИСПАН-2'!C18+'ДИСПАН-2'!D18)/2</f>
        <v>0</v>
      </c>
      <c r="D18">
        <f>IF('ДИСПАН-2'!B18&gt;0,(('ДИСПАН-2'!D18-'ДИСПАН-2'!C18)/'ДИСПАН-2'!E18)/SQRT('ДИСПАН-2'!B18),0)</f>
        <v>0</v>
      </c>
      <c r="E18">
        <f>IF('ДИСПАН-2'!E18&gt;0,(('ДИСПАН-2'!D18-'ДИСПАН-2'!C18)*'ДИСПАН-2'!E18)^2,0)</f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  <c r="J18">
        <f t="shared" si="4"/>
        <v>0</v>
      </c>
      <c r="M18" s="5"/>
      <c r="N18" s="4"/>
    </row>
    <row r="19" spans="1:14" ht="12.75">
      <c r="A19">
        <v>15</v>
      </c>
      <c r="B19">
        <f>'ДИСПАН-2'!B19</f>
        <v>0</v>
      </c>
      <c r="C19">
        <f>('ДИСПАН-2'!C19+'ДИСПАН-2'!D19)/2</f>
        <v>0</v>
      </c>
      <c r="D19">
        <f>IF('ДИСПАН-2'!B19&gt;0,(('ДИСПАН-2'!D19-'ДИСПАН-2'!C19)/'ДИСПАН-2'!E19)/SQRT('ДИСПАН-2'!B19),0)</f>
        <v>0</v>
      </c>
      <c r="E19">
        <f>IF('ДИСПАН-2'!E19&gt;0,(('ДИСПАН-2'!D19-'ДИСПАН-2'!C19)*'ДИСПАН-2'!E19)^2,0)</f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  <c r="J19">
        <f t="shared" si="4"/>
        <v>0</v>
      </c>
      <c r="K19" t="s">
        <v>31</v>
      </c>
      <c r="M19" s="11" t="s">
        <v>32</v>
      </c>
      <c r="N19" s="12"/>
    </row>
    <row r="20" spans="1:14" ht="12.75">
      <c r="A20">
        <v>16</v>
      </c>
      <c r="B20">
        <f>'ДИСПАН-2'!B20</f>
        <v>0</v>
      </c>
      <c r="C20">
        <f>('ДИСПАН-2'!C20+'ДИСПАН-2'!D20)/2</f>
        <v>0</v>
      </c>
      <c r="D20">
        <f>IF('ДИСПАН-2'!B20&gt;0,(('ДИСПАН-2'!D20-'ДИСПАН-2'!C20)/'ДИСПАН-2'!E20)/SQRT('ДИСПАН-2'!B20),0)</f>
        <v>0</v>
      </c>
      <c r="E20">
        <f>IF('ДИСПАН-2'!E20&gt;0,(('ДИСПАН-2'!D20-'ДИСПАН-2'!C20)*'ДИСПАН-2'!E20)^2,0)</f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  <c r="J20">
        <f t="shared" si="4"/>
        <v>0</v>
      </c>
      <c r="M20" s="13"/>
      <c r="N20" s="14">
        <f>IF(B3&gt;1,B3-1,0)</f>
        <v>3</v>
      </c>
    </row>
    <row r="21" spans="1:14" ht="12.75">
      <c r="A21">
        <v>17</v>
      </c>
      <c r="B21">
        <f>'ДИСПАН-2'!B21</f>
        <v>0</v>
      </c>
      <c r="C21">
        <f>('ДИСПАН-2'!C21+'ДИСПАН-2'!D21)/2</f>
        <v>0</v>
      </c>
      <c r="D21">
        <f>IF('ДИСПАН-2'!B21&gt;0,(('ДИСПАН-2'!D21-'ДИСПАН-2'!C21)/'ДИСПАН-2'!E21)/SQRT('ДИСПАН-2'!B21),0)</f>
        <v>0</v>
      </c>
      <c r="E21">
        <f>IF('ДИСПАН-2'!E21&gt;0,(('ДИСПАН-2'!D21-'ДИСПАН-2'!C21)*'ДИСПАН-2'!E21)^2,0)</f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  <c r="J21">
        <f t="shared" si="4"/>
        <v>0</v>
      </c>
      <c r="M21" s="13" t="s">
        <v>33</v>
      </c>
      <c r="N21" s="14"/>
    </row>
    <row r="22" spans="1:14" ht="12.75">
      <c r="A22">
        <v>18</v>
      </c>
      <c r="B22">
        <f>'ДИСПАН-2'!B22</f>
        <v>0</v>
      </c>
      <c r="C22">
        <f>('ДИСПАН-2'!C22+'ДИСПАН-2'!D22)/2</f>
        <v>0</v>
      </c>
      <c r="D22">
        <f>IF('ДИСПАН-2'!B22&gt;0,(('ДИСПАН-2'!D22-'ДИСПАН-2'!C22)/'ДИСПАН-2'!E22)/SQRT('ДИСПАН-2'!B22),0)</f>
        <v>0</v>
      </c>
      <c r="E22">
        <f>IF('ДИСПАН-2'!E22&gt;0,(('ДИСПАН-2'!D22-'ДИСПАН-2'!C22)*'ДИСПАН-2'!E22)^2,0)</f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  <c r="J22">
        <f t="shared" si="4"/>
        <v>0</v>
      </c>
      <c r="M22" s="13"/>
      <c r="N22" s="14">
        <f>IF(B25&gt;0,B25-B3,0)</f>
        <v>12</v>
      </c>
    </row>
    <row r="23" spans="1:14" ht="12.75">
      <c r="A23">
        <v>19</v>
      </c>
      <c r="B23">
        <f>'ДИСПАН-2'!B23</f>
        <v>0</v>
      </c>
      <c r="C23">
        <f>('ДИСПАН-2'!C23+'ДИСПАН-2'!D23)/2</f>
        <v>0</v>
      </c>
      <c r="D23">
        <f>IF('ДИСПАН-2'!B23&gt;0,(('ДИСПАН-2'!D23-'ДИСПАН-2'!C23)/'ДИСПАН-2'!E23)/SQRT('ДИСПАН-2'!B23),0)</f>
        <v>0</v>
      </c>
      <c r="E23">
        <f>IF('ДИСПАН-2'!E23&gt;0,(('ДИСПАН-2'!D23-'ДИСПАН-2'!C23)*'ДИСПАН-2'!E23)^2,0)</f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  <c r="J23">
        <f t="shared" si="4"/>
        <v>0</v>
      </c>
      <c r="M23" s="13" t="s">
        <v>34</v>
      </c>
      <c r="N23" s="14"/>
    </row>
    <row r="24" spans="1:14" ht="12.75">
      <c r="A24">
        <v>20</v>
      </c>
      <c r="B24">
        <f>'ДИСПАН-2'!B24</f>
        <v>0</v>
      </c>
      <c r="C24">
        <f>('ДИСПАН-2'!C24+'ДИСПАН-2'!D24)/2</f>
        <v>0</v>
      </c>
      <c r="D24">
        <f>IF('ДИСПАН-2'!B24&gt;0,(('ДИСПАН-2'!D24-'ДИСПАН-2'!C24)/'ДИСПАН-2'!E24)/SQRT('ДИСПАН-2'!B24),0)</f>
        <v>0</v>
      </c>
      <c r="E24">
        <f>IF('ДИСПАН-2'!E24&gt;0,(('ДИСПАН-2'!D24-'ДИСПАН-2'!C24)*'ДИСПАН-2'!E24)^2,0)</f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  <c r="J24">
        <f t="shared" si="4"/>
        <v>0</v>
      </c>
      <c r="M24" s="15"/>
      <c r="N24" s="16">
        <f>IF(B25&gt;0,B25-1,0)</f>
        <v>15</v>
      </c>
    </row>
    <row r="25" spans="1:10" ht="12.75">
      <c r="A25" t="s">
        <v>18</v>
      </c>
      <c r="B25">
        <f>SUM(B5:B24)</f>
        <v>16</v>
      </c>
      <c r="G25">
        <f>SUM(G5:G24)</f>
        <v>144</v>
      </c>
      <c r="H25">
        <f>SUM(H5:H24)</f>
        <v>1306</v>
      </c>
      <c r="I25">
        <f>SUM(I5:I24)</f>
        <v>1324.423288</v>
      </c>
      <c r="J25">
        <f>SUM(J5:J24)</f>
        <v>64</v>
      </c>
    </row>
  </sheetData>
  <sheetProtection password="C766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Dementiev</dc:creator>
  <cp:keywords/>
  <dc:description/>
  <cp:lastModifiedBy>Admin</cp:lastModifiedBy>
  <dcterms:created xsi:type="dcterms:W3CDTF">2006-05-06T12:31:32Z</dcterms:created>
  <dcterms:modified xsi:type="dcterms:W3CDTF">2018-01-07T11:01:22Z</dcterms:modified>
  <cp:category/>
  <cp:version/>
  <cp:contentType/>
  <cp:contentStatus/>
</cp:coreProperties>
</file>